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0320" windowHeight="7410" activeTab="1"/>
  </bookViews>
  <sheets>
    <sheet name="DT thu 2022" sheetId="1" r:id="rId1"/>
    <sheet name="DT chi" sheetId="2" r:id="rId2"/>
    <sheet name="Năm 2019 (Chi tiet)" sheetId="3" state="hidden" r:id="rId3"/>
  </sheets>
  <definedNames>
    <definedName name="_xlnm.Print_Titles" localSheetId="1">'DT chi'!$5:$5</definedName>
    <definedName name="_xlnm.Print_Titles" localSheetId="2">'Năm 2019 (Chi tiet)'!$4:$4</definedName>
  </definedNames>
  <calcPr fullCalcOnLoad="1"/>
</workbook>
</file>

<file path=xl/sharedStrings.xml><?xml version="1.0" encoding="utf-8"?>
<sst xmlns="http://schemas.openxmlformats.org/spreadsheetml/2006/main" count="618" uniqueCount="485">
  <si>
    <t>TỔNG CHI NGÂN SÁCH</t>
  </si>
  <si>
    <t>A</t>
  </si>
  <si>
    <t>CHI NGÂN SÁCH CẤP HUYỆN</t>
  </si>
  <si>
    <t>I</t>
  </si>
  <si>
    <t>II</t>
  </si>
  <si>
    <t>Chi thường xuyên</t>
  </si>
  <si>
    <t>Chi sự nghiệp kinh tế</t>
  </si>
  <si>
    <t>1.1</t>
  </si>
  <si>
    <t>1.3</t>
  </si>
  <si>
    <t>1.4</t>
  </si>
  <si>
    <t>SN Tiểu thủ công nghiệp</t>
  </si>
  <si>
    <t>1.5</t>
  </si>
  <si>
    <t>SN Thương mại</t>
  </si>
  <si>
    <t>SN Tài nguyên - Môi trường</t>
  </si>
  <si>
    <t>Chi đảm bảo xã hội</t>
  </si>
  <si>
    <t>Chi QLNN, Đảng, Đoàn thể</t>
  </si>
  <si>
    <t>Huyện Ủy</t>
  </si>
  <si>
    <t>Khối đoàn thể</t>
  </si>
  <si>
    <t>Hội người mù</t>
  </si>
  <si>
    <t>Ban đại diện Hội người cao tuổi</t>
  </si>
  <si>
    <t>Chi khác ngân sách</t>
  </si>
  <si>
    <t>Quỹ khen thưởng</t>
  </si>
  <si>
    <t>Các khoản hỗ trợ khác</t>
  </si>
  <si>
    <t>Nguồn cải cách tiền lương</t>
  </si>
  <si>
    <t>Dự phòng NS</t>
  </si>
  <si>
    <t>TT ƯDKH &amp; bảo vệ cây trồng vật nuôi</t>
  </si>
  <si>
    <t>III</t>
  </si>
  <si>
    <t>Trung tâm Văn hóa thể thao</t>
  </si>
  <si>
    <t>Kinh phí hoạt động vì sự tiến bộ của phụ nữ</t>
  </si>
  <si>
    <t>Hội khuyến học</t>
  </si>
  <si>
    <t>Hội nạn nhân chất độc da cam</t>
  </si>
  <si>
    <t>Hội bảo trợ người khuyết tật và trẻ em mồ côi</t>
  </si>
  <si>
    <t xml:space="preserve"> Hỗ trợ các cuộc điều tra theo chỉ đạo của tỉnh</t>
  </si>
  <si>
    <t>Kinh phí chuẩn bị đầu tư</t>
  </si>
  <si>
    <t>Thẻ bảo hiểm y tế cho người nghèo</t>
  </si>
  <si>
    <t/>
  </si>
  <si>
    <t>Trung tâm Dân số KHHGĐ</t>
  </si>
  <si>
    <t xml:space="preserve">Sự nghiệp y tế </t>
  </si>
  <si>
    <t>B</t>
  </si>
  <si>
    <t>Từ nguồn giao thu trên địa bàn</t>
  </si>
  <si>
    <t xml:space="preserve">Chi An ninh </t>
  </si>
  <si>
    <t>Sự  nghiệp thông tin - Du lịch</t>
  </si>
  <si>
    <t>Cước phí sử dụng chương trình Tabmis</t>
  </si>
  <si>
    <t>- Tiền ăn trưa cán bộ cơ yếu theo CV 91/BTC ngày 24/1/2011</t>
  </si>
  <si>
    <t>Mặt trận tổ quốc</t>
  </si>
  <si>
    <t>Hội Chữ thập đỏ</t>
  </si>
  <si>
    <t>TT</t>
  </si>
  <si>
    <t>Chỉ tiêu</t>
  </si>
  <si>
    <t>KP hỗ trợ các đơn vị hoạt động</t>
  </si>
  <si>
    <t>Chi Quốc phòng</t>
  </si>
  <si>
    <t>Hỗ trợ chi cục thi hành án</t>
  </si>
  <si>
    <t>Kinh phí thẩm định giá trong tố tụng hình sự</t>
  </si>
  <si>
    <t>Hỗ trợ hội thanh niên, hội đồng đội</t>
  </si>
  <si>
    <t>Hỗ trợ viện kiểm sát</t>
  </si>
  <si>
    <t>Bảo hiểm xe ô tô( 3 cái)</t>
  </si>
  <si>
    <t>Tham gia các giải thể thao cấp tỉnh</t>
  </si>
  <si>
    <t>Phụ cấp chuyên trách hội 2 người: HSPC  4</t>
  </si>
  <si>
    <t>Hội Cựu TNXP</t>
  </si>
  <si>
    <t>Tuyển quân</t>
  </si>
  <si>
    <t>Quốc phòng địa phương</t>
  </si>
  <si>
    <t>Kinh phí sửa chữa, mua sắm tài sản</t>
  </si>
  <si>
    <t>Chi ngân sách cấp xã</t>
  </si>
  <si>
    <t xml:space="preserve"> -</t>
  </si>
  <si>
    <t xml:space="preserve">  Nông dân</t>
  </si>
  <si>
    <t xml:space="preserve">  - </t>
  </si>
  <si>
    <t xml:space="preserve"> Phụ nữ</t>
  </si>
  <si>
    <t xml:space="preserve"> Huyện đoàn</t>
  </si>
  <si>
    <t xml:space="preserve"> Hội Cựu chiến binh</t>
  </si>
  <si>
    <t>Hội nghị biểu dương hộ SXKH và hộ nghèo vượt khó</t>
  </si>
  <si>
    <t>Tiền xăng dầu máy nổ, tiền điện Hội trường lớn</t>
  </si>
  <si>
    <t>SN Y tế - Dân số</t>
  </si>
  <si>
    <t>Báo chí</t>
  </si>
  <si>
    <t>Ghi chú</t>
  </si>
  <si>
    <r>
      <t xml:space="preserve">                                                                                                                      </t>
    </r>
    <r>
      <rPr>
        <i/>
        <sz val="12"/>
        <rFont val="Times New Roman"/>
        <family val="1"/>
      </rPr>
      <t>Đơn vị tính: 1.000đồng</t>
    </r>
  </si>
  <si>
    <t xml:space="preserve">Kinh phí sữa xe ô tô và xăng xe </t>
  </si>
  <si>
    <t>* Hoạt động cơ quan Huyện ủy</t>
  </si>
  <si>
    <t>Kinh phí gặp mặt cán bộ lão thành CM ngày 12/9</t>
  </si>
  <si>
    <t>* Hoạt động cấp ủy</t>
  </si>
  <si>
    <t>Kinh phí tổ chức cho cán bộ chủ chốt huyện nghỉ hưu đi nghỉ dưỡng</t>
  </si>
  <si>
    <t>Các hoạt động theo Nghị quyết số 78/NQ-HĐND của HĐND tỉnh</t>
  </si>
  <si>
    <t>Hoạt động Hè tình nguyện</t>
  </si>
  <si>
    <t>a</t>
  </si>
  <si>
    <t>b</t>
  </si>
  <si>
    <t>Phụ cấp cho ủy viên Mặt trận huyện theo QĐ 33/2014/QĐ-TTG</t>
  </si>
  <si>
    <t xml:space="preserve">Trung tâm y tế dự phòng: </t>
  </si>
  <si>
    <t>Kinh phí trực y tế xã  theo QĐ 73/2011/QĐ-TTG</t>
  </si>
  <si>
    <t>Kinh phí chi thường xuyên</t>
  </si>
  <si>
    <t>Lương và các khoản phụ cấp lương</t>
  </si>
  <si>
    <t>Kinh phí mua tài liệu học Nghị quyết cho cấp ủy</t>
  </si>
  <si>
    <t xml:space="preserve"> </t>
  </si>
  <si>
    <t>Hỗ trợ KP Bác sỹ về công tác tại trạm y tế xã (QĐ 03 của tỉnh)</t>
  </si>
  <si>
    <t>Các cuộc Hội nghị sơ kết, tổng kết</t>
  </si>
  <si>
    <t>8.1</t>
  </si>
  <si>
    <t>8.2</t>
  </si>
  <si>
    <t>Tổ chức các cuộc hội nghị sơ kết, tổng kết</t>
  </si>
  <si>
    <t>Hỗ trợ BCĐ xây dựng đời sống văn hóa</t>
  </si>
  <si>
    <t>Chi đầu tư phát triển từ  nguồn cấp quyền SD đất</t>
  </si>
  <si>
    <t>Ngày doanh nhân Việt Nam 13/10</t>
  </si>
  <si>
    <t>Dự toán 2017</t>
  </si>
  <si>
    <t>Thực hiện nhiệm: 20 % lương</t>
  </si>
  <si>
    <t xml:space="preserve">Thực hiện nhiệm vụ: 20 % lương </t>
  </si>
  <si>
    <t>Trung tâm y tế dự phòng:</t>
  </si>
  <si>
    <t xml:space="preserve">Trạm y tế các xã </t>
  </si>
  <si>
    <t>Thực hiện nhiệm vụ: 25 % lương</t>
  </si>
  <si>
    <t xml:space="preserve">Thực hiện nhiệm vụ: 25 % lương </t>
  </si>
  <si>
    <t xml:space="preserve">Thực hiện nhiệm vụ: 25 % lương  </t>
  </si>
  <si>
    <t xml:space="preserve">Thực hiện nhiệm v: 20 % lương </t>
  </si>
  <si>
    <t xml:space="preserve">- Hoạt động 20 % lương </t>
  </si>
  <si>
    <t>Kinh phí hoạt động Ban cứu trợ huyện</t>
  </si>
  <si>
    <t xml:space="preserve">- Thực hiện nhiệm vụ: 25 % lương </t>
  </si>
  <si>
    <t>Hỗ trợ thực hiện nhiệm vụ vận động quyên góp cứu trợ nhân đạo</t>
  </si>
  <si>
    <t>KP xây dựng, kiểm tra, rà soát văn bản pháp luật</t>
  </si>
  <si>
    <t>Kinh phí tập huấn cho đại biểu</t>
  </si>
  <si>
    <t>Các khoản phân cấp theo quy định của TW và tỉnh</t>
  </si>
  <si>
    <t>Hoạt động của chi bộ cơ sở theo QĐ 99/2012/QĐ-TW</t>
  </si>
  <si>
    <t>Phụ cấp cho cán bộ làm công tác tin học theo QĐ 60 của tỉnh</t>
  </si>
  <si>
    <t>BHYT đối với đối tượng BTXH</t>
  </si>
  <si>
    <t>Lương, phụ cấp</t>
  </si>
  <si>
    <t>Chi hoạt động</t>
  </si>
  <si>
    <t>Kinh phí bù thủy lợi phí theo NĐ 67</t>
  </si>
  <si>
    <t>Hỗ trợ phát triển đất trồng lúa theo NĐ 35</t>
  </si>
  <si>
    <t>Hỗ trợ xây dựng, sửa chữa công trình</t>
  </si>
  <si>
    <t>Tiền ăn trưa</t>
  </si>
  <si>
    <t>Hỗ trợ học sinh khuyết tật</t>
  </si>
  <si>
    <t>Hỗ trơ học sinh bán trú theo QĐ 85/2011/QĐ-TTg</t>
  </si>
  <si>
    <t>Kinh phí thực hiện NĐ 116</t>
  </si>
  <si>
    <t>Từ nguồn bổ sung cân đối ( bao gồm cả KP Dân quân tự vệ)</t>
  </si>
  <si>
    <t>Hoạt động đảm bảo xã hội</t>
  </si>
  <si>
    <t>Hoạt động của BCĐ Thị hành án dân sự theo TTLT số 05</t>
  </si>
  <si>
    <t>Chi bảo vệ biên giới</t>
  </si>
  <si>
    <t>Gặp mặt học sinh, sinh viên nghèo học giỏi</t>
  </si>
  <si>
    <t>Kinh phí phục vụ các cuộc tập huấn ở Trung ương</t>
  </si>
  <si>
    <t>KP dự phòng hoạt động cấp ủy</t>
  </si>
  <si>
    <t>- Sữa chữa và xăng xe ô tô (kể cả sửa chữa lớn)</t>
  </si>
  <si>
    <t>KP BCĐ xây dựng thị trấn đạt văn minh đô thị</t>
  </si>
  <si>
    <t>Kinh phí xuất bản bản tin sinh hoạt chi bộ</t>
  </si>
  <si>
    <t>Hoạt động Ban chỉ đạo NTM huyện</t>
  </si>
  <si>
    <t>KP đặc thù theo QĐ 130</t>
  </si>
  <si>
    <t>Tiền lương, phục cấp</t>
  </si>
  <si>
    <t>Chi thường xuyên (bao gồm cả khen thưởng)</t>
  </si>
  <si>
    <t>TỔNG THU NSNN</t>
  </si>
  <si>
    <t>THU NGÂN SÁCH HUYỆN HƯỞNG</t>
  </si>
  <si>
    <t>Thu trên địa bàn</t>
  </si>
  <si>
    <t>Thu Quốc doanh</t>
  </si>
  <si>
    <t>Thu ngoài Quốc doanh</t>
  </si>
  <si>
    <t>Thuế Thu nhập cá nhân</t>
  </si>
  <si>
    <t>Thuế phi nông nghiệp</t>
  </si>
  <si>
    <t>Tiền cấp quyền SD đất</t>
  </si>
  <si>
    <t>Phí, lệ phí</t>
  </si>
  <si>
    <t>Lệ phí trước bạ</t>
  </si>
  <si>
    <t>Tiền thuê đất</t>
  </si>
  <si>
    <t>Thu khác ngân sách</t>
  </si>
  <si>
    <t>Thu khác tại xã</t>
  </si>
  <si>
    <t>Thu bổ sung NS cấp trên</t>
  </si>
  <si>
    <t>Ngân sách huyện</t>
  </si>
  <si>
    <t>Ngân sách xã</t>
  </si>
  <si>
    <t>-</t>
  </si>
  <si>
    <t>Chế độ bảo trợ xã hội theo NĐ 136/NĐ-CP</t>
  </si>
  <si>
    <t>Kinh phí tập huấn phần mềm kế toán ngân sách</t>
  </si>
  <si>
    <t>Cấp bù học phí</t>
  </si>
  <si>
    <t>Hỗ trợ chi phí học tập</t>
  </si>
  <si>
    <t>Sự nghiệp giáo dục: trừ 116 45,763 triệu: gồm trừ 61: 15,159 triệu; 
NĐ116: 26,819 triệu; hoạt động 3,785 triệu</t>
  </si>
  <si>
    <t>CCTL 6,943 triệu tạm đưa giáo dục</t>
  </si>
  <si>
    <t>Tiền lương</t>
  </si>
  <si>
    <t>Lương, phụ cấp: và 23,5 % BH</t>
  </si>
  <si>
    <t xml:space="preserve">Lương, phụ cấp và 23,5 % BH </t>
  </si>
  <si>
    <t>Tiền lương, phụ cấp và 23,5 % bảo hiểm</t>
  </si>
  <si>
    <t>Lương, phụ cấp và 22,5 % BH (bao gồm cả hợp đồng 68)</t>
  </si>
  <si>
    <t>Tiền lương, phụ cấp và 22,5% BH</t>
  </si>
  <si>
    <t xml:space="preserve">Lương, phụ cấp và 22,5 % BH </t>
  </si>
  <si>
    <t>Tiền lương, phụ cấp và 22,5 % BH</t>
  </si>
  <si>
    <t xml:space="preserve">Tiền lương, phụ cấp </t>
  </si>
  <si>
    <t>- Lương 1 biên chế theo thông báo của huyện ( 2,34)</t>
  </si>
  <si>
    <t>- Tiền lương 2 người: HSL: 4,5</t>
  </si>
  <si>
    <t>Phụ cấp chuyên trách hội 2 người: HSPC  4,5</t>
  </si>
  <si>
    <t>Chi công tác tiếp xúc cử tri</t>
  </si>
  <si>
    <t>Dự phòng nhiệm vụ đột xuất</t>
  </si>
  <si>
    <t>Tiền lương, phụ cấp và 23,5 % BH</t>
  </si>
  <si>
    <t>Kinh phí hoạt động kỷ niệm ngày 8/3</t>
  </si>
  <si>
    <t>Kinh phí rà soát hộ nghèo, cận nghèo theo chỉ đạo của tỉnh</t>
  </si>
  <si>
    <t>KHOẢN THU</t>
  </si>
  <si>
    <t>Phụ cấp cán bộ khuyến nông cơ sở: 22 người 300x 12 tháng</t>
  </si>
  <si>
    <t>Phụ cấp cán bộ dân quân tự vệ khối cơ quan</t>
  </si>
  <si>
    <t>Hỗ trợ Qũy Hỗ trợ Nông dân theo Kết luận  61-KL/TW ngày 03/12/2009</t>
  </si>
  <si>
    <t>Sự nghiệp nông nghiệp</t>
  </si>
  <si>
    <t>Sự nghiệp nông, lâm, ngư nghiệp</t>
  </si>
  <si>
    <t>Sự nghiệp thủy lợi</t>
  </si>
  <si>
    <t>Kinh phí mua sắm tài sản, trang thiết bị làm việc</t>
  </si>
  <si>
    <t>Bổ sung các nhiệm vụ chi đột xuất và chi khác</t>
  </si>
  <si>
    <t>Thực hiện Kế hoạch chỉnh lý tài liệu cơ quan UBND huyện theo QĐ số 5765/QĐ-UBND ngày 03/12/2014 của UBND tỉnh</t>
  </si>
  <si>
    <t xml:space="preserve">Hỗ trợ chi chung khối đoàn thể và LĐLĐ huyện </t>
  </si>
  <si>
    <t>1.2</t>
  </si>
  <si>
    <t>Sự nghiệp giao thông</t>
  </si>
  <si>
    <t>Kinh phí triển khai Chương trình Ocop</t>
  </si>
  <si>
    <t>Sự nghiệp Giáo dục</t>
  </si>
  <si>
    <t>Trung tâm Giáo dục nghề nghiệp và giáo dục thường xuyên</t>
  </si>
  <si>
    <t>Hoạt động thành viên UBND huyện (15 người x 500.000đồng x 12 tháng)</t>
  </si>
  <si>
    <t>Chủ tọa: 3 người x 2kỳ x 2 ngày x 250.000đ/người</t>
  </si>
  <si>
    <t>Thư ký kỳ họp: 3 người x 2kỳ x 2 ngày x 220.000đ/người</t>
  </si>
  <si>
    <t>Cán bộ phục vụ trực tiếp: 20 người  x 2 kỳ  x 2 ngày x 80.000đ</t>
  </si>
  <si>
    <t>Đại biểu HĐND: 40 người x 2kỳ họp x 2 ngày x 150.000đ/người</t>
  </si>
  <si>
    <t>Hoạt động 15 % ( tạm tính)</t>
  </si>
  <si>
    <t>Văn phòng nông thôn mới</t>
  </si>
  <si>
    <t>+</t>
  </si>
  <si>
    <t>Phụ cấp Ban chỉ đạo: 4 người x 0,4 MLTT x 12 tháng</t>
  </si>
  <si>
    <t>Phụ cấp thành viên ban chỉ đạo: 30 người  x 100 ngàn đ/tháng x 12 T</t>
  </si>
  <si>
    <t xml:space="preserve">Phụ cấp thành viên ban điều phối: </t>
  </si>
  <si>
    <t xml:space="preserve"> Phụ cấp chuyên trách: 4 người: HSL 13,52 x 0,5 MLTT x 12 tháng</t>
  </si>
  <si>
    <t>Phụ cấp kiêm nhiệm: 2 người: HSL 9,37 x 0,35 MLTT x 12 tháng</t>
  </si>
  <si>
    <t>Kinh phí thực hiện nhiệm vụ</t>
  </si>
  <si>
    <t>Tr.đó: NS cấp huyện, cấp xã hưởng</t>
  </si>
  <si>
    <t>6.1</t>
  </si>
  <si>
    <t>6.2</t>
  </si>
  <si>
    <t>Kinh phí thực hiện nhiệm vụ: 15 % ( tạm tính)</t>
  </si>
  <si>
    <t>Gặp mặt các chức sắc tôn giáo</t>
  </si>
  <si>
    <t>Ủy BAN NHÂN  DÂN HUYỆN</t>
  </si>
  <si>
    <t>DỰ TOÁN CHI NGÂN SÁCH NĂM 2019</t>
  </si>
  <si>
    <t>Dự toán năm 2019</t>
  </si>
  <si>
    <t>1.6</t>
  </si>
  <si>
    <t>1.7</t>
  </si>
  <si>
    <t>1.8</t>
  </si>
  <si>
    <t>Tiền điện hộ nghèo, hộ chính sách</t>
  </si>
  <si>
    <t xml:space="preserve">An ninh  </t>
  </si>
  <si>
    <t>Biên giới</t>
  </si>
  <si>
    <t>1.9</t>
  </si>
  <si>
    <t>1.10</t>
  </si>
  <si>
    <t>1.11</t>
  </si>
  <si>
    <t>8.3</t>
  </si>
  <si>
    <t>Sự nghiệp đào tạo và dạy nghề</t>
  </si>
  <si>
    <t>4.1</t>
  </si>
  <si>
    <t>4.2</t>
  </si>
  <si>
    <t>5.1</t>
  </si>
  <si>
    <t>5.2</t>
  </si>
  <si>
    <t>6.3</t>
  </si>
  <si>
    <t>7.1</t>
  </si>
  <si>
    <t>7.2</t>
  </si>
  <si>
    <t>7.3</t>
  </si>
  <si>
    <t>7.4</t>
  </si>
  <si>
    <t>7.5</t>
  </si>
  <si>
    <t>7.6</t>
  </si>
  <si>
    <t>7.8</t>
  </si>
  <si>
    <t>7.9</t>
  </si>
  <si>
    <t>7.10</t>
  </si>
  <si>
    <t>7.11</t>
  </si>
  <si>
    <t>7.12</t>
  </si>
  <si>
    <t>7.13</t>
  </si>
  <si>
    <t>7.14</t>
  </si>
  <si>
    <t>8.4</t>
  </si>
  <si>
    <t>13.1</t>
  </si>
  <si>
    <t>13.2</t>
  </si>
  <si>
    <t>13.3</t>
  </si>
  <si>
    <t>13.4</t>
  </si>
  <si>
    <t>13.5</t>
  </si>
  <si>
    <t>13.6</t>
  </si>
  <si>
    <t>13.7</t>
  </si>
  <si>
    <t>13.8</t>
  </si>
  <si>
    <t>13.9</t>
  </si>
  <si>
    <t>13.10</t>
  </si>
  <si>
    <t>13.11</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</si>
  <si>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</si>
  <si>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</si>
  <si>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</si>
  <si>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</si>
  <si>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</si>
  <si>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</si>
  <si>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</si>
  <si>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</si>
  <si>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</si>
  <si>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</si>
  <si>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</si>
  <si>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</si>
  <si>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</si>
  <si>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</si>
  <si>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</si>
  <si>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</si>
  <si>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</si>
  <si>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</si>
  <si>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</si>
  <si>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</si>
  <si>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</si>
  <si>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</si>
  <si>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</si>
  <si>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</si>
  <si>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</si>
  <si>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</si>
  <si>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</si>
  <si>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</si>
  <si>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</si>
  <si>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Chuyển quyền khai thác khoáng sản</t>
  </si>
  <si>
    <t>Hõ trợ KP học tập cho dân tộc ít người theo NĐ 57/2017</t>
  </si>
  <si>
    <t>Hỗ trợ chúc mừng lễ Noel, phục sinh</t>
  </si>
  <si>
    <t>Huấn luyện dự bị động viên</t>
  </si>
  <si>
    <t>Kinh phí tổng kết 30 năm thực hiện chỉ thị 51/CT-TW và kỷ niệm
50 năm ngày thành lập Hội Người mù Việt Nam</t>
  </si>
  <si>
    <t>Kinh phí hợp đồng lái xe cơ quan khối dân: 12 tháng x 3 triệu đ/tháng</t>
  </si>
  <si>
    <t xml:space="preserve">KP thực hiện cuộc vận động " Toàn dân đoàn kết XD
 nông thôn mới đô thị văn minh" theo Thông tư 21/2017/TT-BTC </t>
  </si>
  <si>
    <t>Kinh phí Đại hội nhiệm kỳ 2019- 2024</t>
  </si>
  <si>
    <t>Kinh phí thực hiện công tác đo đạc, đăng ký đất đai, cấp GCNQSD đất, xây dựng cơ sở dữ liệu về đất đai</t>
  </si>
  <si>
    <t>Kinh phí thuê tổ chức bán đấu giá quyền sử dụng đất</t>
  </si>
  <si>
    <t>SN văn hóa thông tin, TDTT</t>
  </si>
  <si>
    <t>Trong đó: Thực hiện nhiệm vụ vệ sinh ATTP</t>
  </si>
  <si>
    <t xml:space="preserve">
Kinh phí hoạt động của các Đoàn công tác theo QĐ 95: 
 - Phú Phong, Gia Phố, Hương Trà, Thị trấn (4 xã x 15 triệu/xã)
 - Hương Trạch, Hương Lâm, Hương Liên, Hòa Hải, Hà Linh, Phương Điền, Phương Mỹ (7 xã  x 22 triệu).
 - 11 xã còn lại x  18 triệu đồng/xã
</t>
  </si>
  <si>
    <t>Hỗ trợ các hoạt động kiểm tra, hướng dẫn chuyển giao KHKT…</t>
  </si>
  <si>
    <t>Trong đó:  Kinh phí xử lý rác thải sinh hoạt</t>
  </si>
  <si>
    <t>Kinh phí học tập kinh nghiệm các mô hình phát triển kinh tế</t>
  </si>
  <si>
    <t xml:space="preserve">Hoạt động của Hội khoa học kỷ thuật </t>
  </si>
  <si>
    <t>Hoạt động của Hội làm vườn</t>
  </si>
  <si>
    <t xml:space="preserve">Kinh phí thực hiện Đề án "Hoàn thiện, hiện đại hóa hồ sơ, bản đồ địa giới hành chính và XD cơ sở dữ liệu về địa giới hành chính" theo QĐ 513/QĐ-TTG </t>
  </si>
  <si>
    <t>Kinh phí sự nghiệp đào tạo (Trung tâm dạy nghề - GDTX)</t>
  </si>
  <si>
    <t xml:space="preserve">Trung tâm Bồi dưỡng chính trị </t>
  </si>
  <si>
    <t>Chế độ cho nhân viên Y tế học đường chuyển từ giáo dục sang</t>
  </si>
  <si>
    <t>Chế độ thăm hỏi, trợ cấp cho các ĐT liên quan: 15 triệu đồng/năm</t>
  </si>
  <si>
    <t>Kinh phí xuất bản bản tin Hương Khê: 4 số x 20 triệu đồng/số</t>
  </si>
  <si>
    <t>- Tiền lương, phụ cấp và 22,5 % BH</t>
  </si>
  <si>
    <t>- Hợp đồng lái xe: 1 người x 4 triệu đồng</t>
  </si>
  <si>
    <t>- Kinh phí mua bảo hiểm xe ô tô  + phí giao thông đường bộ (2 xe)</t>
  </si>
  <si>
    <t>KP hoạt động của  ủy viên BTV: 13 người x 2 triệu đồng/người/tháng)</t>
  </si>
  <si>
    <t xml:space="preserve">Kinh phí kỷ niệm  ngày thành lập Đảng </t>
  </si>
  <si>
    <t xml:space="preserve">Hỗ trợ NH CSXH bổ sung quỹ cho vay các đối tượng chính sách theo Văn bản số 2410/UBND-HT ngày 10/6/2014 của UBND tỉnh </t>
  </si>
  <si>
    <t>Đại biểu mời, phóng viên: 180 người x 2kỳ họp x 2 ngày x 100.000đ</t>
  </si>
  <si>
    <t>Phóng viên đài, báo đưa tin (5 người x 150.000đồng x 2 kỳ)</t>
  </si>
  <si>
    <t>Chi phí trang trí khánh tiết, hoa tươi (2 kỳ họp)</t>
  </si>
  <si>
    <t>Tiền nước phục vụ: 220 người x 2 kỳ x 2 ngày x 20.000đ</t>
  </si>
  <si>
    <t>Kinh phí hoạt động HĐND huyện</t>
  </si>
  <si>
    <t>Hỗ trợ Đại biểu HĐND tiếp xúc cử tri</t>
  </si>
  <si>
    <t>Hỗ trợ Đại biểu HĐND sử dụng tài liệu</t>
  </si>
  <si>
    <t>Hỗ trợ Đại biểu HĐND chăm sóc sức khỏe định kỳ hàng năm</t>
  </si>
  <si>
    <t>Phụ cấp, chế độ của Đại biểu HĐND và chế độ khác</t>
  </si>
  <si>
    <t>Chế độ kỳ họp HĐND huyện</t>
  </si>
  <si>
    <t>Phụ cấp Đại biểu HĐND huyện và đối tượng khác</t>
  </si>
  <si>
    <t xml:space="preserve">Các cuộc họp trước và sau kỳ họp </t>
  </si>
  <si>
    <t>Đại biểu HĐND huyện tập huấn tại tỉnh</t>
  </si>
  <si>
    <t>Đại biểu HĐND xã tập huấn tại huyện</t>
  </si>
  <si>
    <t>Chi hỗ trợ mỗi xã 1 điểm tiếp xúc x 2 cuộc x 22 xã, thị x 1 triệu</t>
  </si>
  <si>
    <t>Thù lao cán bộ phục vụ: 6 người x 80.000đ x 2 đợt</t>
  </si>
  <si>
    <t>Hỗ trợ PCT HĐND  không thường vụ:  1 triệu đồng/tháng x 12 tháng</t>
  </si>
  <si>
    <t>KP Đại biểu HĐND huyện học tập trao đổi kinh nghiệm</t>
  </si>
  <si>
    <t>Chi hoạt động của Thường trực HĐND</t>
  </si>
  <si>
    <t>Chi hoạt động của các ban HĐND</t>
  </si>
  <si>
    <t>KP thực hiện Đề án sô 938 về giáo dục vận động phụ nữ tham gia giả quyết một số vấn đề liên quan đến phụ nữ và Đề án số 939 về hỗ trợ phụ nữ khởi nghiệp</t>
  </si>
  <si>
    <t>Hoạt động kỷ niệm các ngày lễ, kỷ niệm, sơ kết, tổng kết, tập huấn</t>
  </si>
  <si>
    <t xml:space="preserve">Phục vụ 3 người x 80.000 đồng x 6 cuộc </t>
  </si>
  <si>
    <t>Tiền nước phục vụ 9người x 5.000 đồng x 6 cuộc</t>
  </si>
  <si>
    <t>Chi phí xăng xe</t>
  </si>
  <si>
    <t xml:space="preserve">Hỗ trợ cho các đại biểu mời tham dự TXCT </t>
  </si>
  <si>
    <t xml:space="preserve">Đại biểu dự họp 12 người x 150.000 đồng x 6 cuộc </t>
  </si>
  <si>
    <t>Chế độ hỗ trợ đối với cán bộ, công chức làm việc tại TTHC công huyện theo Quyết định số 37/2018/QĐ-UBND của tỉnh (tạm tính)</t>
  </si>
  <si>
    <t xml:space="preserve">Chi phụ vụ hoạt động tại TTHC công huyện </t>
  </si>
  <si>
    <t>14.30</t>
  </si>
  <si>
    <t>14.31</t>
  </si>
  <si>
    <t>14.32</t>
  </si>
  <si>
    <t>14.33</t>
  </si>
  <si>
    <t>14.34</t>
  </si>
  <si>
    <t>14.35</t>
  </si>
  <si>
    <t>14.36</t>
  </si>
  <si>
    <t>Tiền điện chiếu sáng đô thị</t>
  </si>
  <si>
    <t>KP làm lại hệ thống đèn Led chiếu sáng đô thị</t>
  </si>
  <si>
    <t>Tiền điện, nước hội trường TTVH và bảng điện tử cổng chào</t>
  </si>
  <si>
    <t>Hỗ trợ chuyên viên giúp việc: 3 người x 22 xã x 2 cuộc x 100.000 đồng</t>
  </si>
  <si>
    <t>KP hợp đồng giáo viên dạy tiếng anh (9 giáo viên dạy 9 tháng)</t>
  </si>
  <si>
    <t xml:space="preserve">Hỗ trợ xây dựng nông thôn mới, XD đô thị văn minh và hỗ trợ 
mua xi măng làm GTNT, KMNĐ </t>
  </si>
  <si>
    <t>KP hỗ trợ chính sách phát triển nông nghiệp và xây dựng khu dân cư mẫu</t>
  </si>
  <si>
    <t>-Kinh phí hợp đồng bảo vệ: 1 người x 3 triệu đồng</t>
  </si>
  <si>
    <t>Kinh phí chúc mừng ngày thành lập các sở, ngành, đơn vị</t>
  </si>
  <si>
    <t>Hợp đồng bảo vệ (kể cả TTHC huyện): 3 người x 3 triệu /tháng  x 12T</t>
  </si>
  <si>
    <t>- Kinh phí mua sắm tài sản, trang thiết bị làm việc</t>
  </si>
  <si>
    <t>1.12</t>
  </si>
  <si>
    <t>Cơ quan UBND huyện (cả phòng GD - ĐT)</t>
  </si>
  <si>
    <t>Hỗ trợ PCT UBND  không Thường vụ:  1 triệu đồng/tháng x 12 tháng</t>
  </si>
  <si>
    <t>Kinh phí Ban Thường vụ Huyện ủy đi học tập kinh nghiệm</t>
  </si>
  <si>
    <t>Ban chấp hành, Ban Thường vụ học Nghị quyết ở tỉnh</t>
  </si>
  <si>
    <t>Hỗ trợ Ban Chỉ đạo công tác tôn giáo</t>
  </si>
  <si>
    <t>Hỗ trợ Ban Chỉ đạo công tác quy chế dân chủ cơ sở</t>
  </si>
  <si>
    <t>Hỗ trợ Ban Chỉ đạo xây dựng mô hình dân vận khéo</t>
  </si>
  <si>
    <t>Kinh phí Ban đoàn kết công giáo</t>
  </si>
  <si>
    <t>Kinh phí ngày hội đại đoàn kết toàn dân tộc</t>
  </si>
  <si>
    <t>Kinh phí tiếp dân theo TTLT số 46/2012/TTLT-BTC-TTCP</t>
  </si>
  <si>
    <t>Trang phục Thanh tra theo TTLT 150/2007/TTLT-BTC-TTCP</t>
  </si>
  <si>
    <t>Hỗ trợ kinh phí mở lớp đào tạo nghề</t>
  </si>
  <si>
    <t>Hội Đông y</t>
  </si>
  <si>
    <t>Hội Cựu giáo chức</t>
  </si>
  <si>
    <t>Hỗ trợ các Đoàn kiểm tra theo QĐ Huyện ủy, UBND huyện</t>
  </si>
  <si>
    <t>Ban Chỉ đạo XD cơ sở ATLC-SSCĐ+ giao ban cụm</t>
  </si>
  <si>
    <t>ISO và xây dựng trực tuyến cổng thông tin điện tử huyện</t>
  </si>
  <si>
    <t>Duyệt huy hiệu Đảng, thẻ đảng viên, hồ sơ chế độ theo NĐ 31/NĐ-CP</t>
  </si>
  <si>
    <t>KP xây dựng văn bản và giám sát của cấp ủy theo QĐ 744/QĐ-TU</t>
  </si>
  <si>
    <r>
      <t xml:space="preserve">Chế độ con liệt sỹ, thương binh, bệnh binh theo QĐ số 3604/QĐ-UBND ngày 24/11/2014 của UBND tỉnh </t>
    </r>
    <r>
      <rPr>
        <sz val="11"/>
        <rFont val="Times New Roman"/>
        <family val="1"/>
      </rPr>
      <t>(tỉnh 50%, huyện 40%, xã 10%)</t>
    </r>
  </si>
  <si>
    <t xml:space="preserve">Chế độ cán bộ tăng cường cơ sở theo QĐ số 281-QĐ/HU </t>
  </si>
  <si>
    <t>Hỗ trợ học phí cho sinh viên ngoài công lập</t>
  </si>
  <si>
    <t>KP tổ chức kỷ niệm 30 năm ngày thành lập Hội CCB Việt Nam</t>
  </si>
  <si>
    <t>Hỗ trợ điểm TXCT với Đoàn đại biểu QH</t>
  </si>
  <si>
    <t>Hỗ trợ điểm TXCT với Đoàn đại biểu HĐND tỉnh</t>
  </si>
  <si>
    <t>(Kèm theo Báo cáo số 298 /QĐ-UBND, ngày 10/12/2018 của UBND huyện)</t>
  </si>
  <si>
    <t>Hỗ trợ LĐLĐ huyện theo Văn bản số 129/UBND-VX của tỉnh và KP kỷ niệm 90 năm ngày thành lập CĐ Việt Nam</t>
  </si>
  <si>
    <t>Kinh phí kiểm điểm giữa nhiệm kỳ</t>
  </si>
  <si>
    <t>Hỗ trợ mua sắm trang thiết bị làm việc chung của khối đoàn thể</t>
  </si>
  <si>
    <t>Kinh phí Đại hội Hội LHTN nhiệm kỳ 2019 - 2024</t>
  </si>
  <si>
    <t>Hỗ trợ các phiên tòa lưu động 20 triệu, Hội thẩm Nhân dân 10 triệu</t>
  </si>
  <si>
    <t>Hội Luật gia (kể cả kinh phí Đại hội)</t>
  </si>
  <si>
    <t>Kinh phí Đại hội nhiệm kỳ</t>
  </si>
  <si>
    <t>Kỷ niệm ngày thành lập các ban Đảng  (5 ban) x 3 triệu/ban</t>
  </si>
  <si>
    <t>Hỗ trợ mua sắm trang thiết bị làm cho UV BTV</t>
  </si>
  <si>
    <t>-Phụ cấp cấp ủy huyện (Huyện uỷ viên) 41 người x 0,4</t>
  </si>
  <si>
    <t>- PC BC viên cơ sở theo HD số 06/BTCTW: 30 người x 0,2</t>
  </si>
  <si>
    <t>KP hoạt động của Thường trực Huyện ủy (bổ sung năm 2017: 50 triệu)</t>
  </si>
  <si>
    <t>Quà cán bộ nghỉ công tác</t>
  </si>
  <si>
    <t xml:space="preserve">kiểm tra </t>
  </si>
  <si>
    <t>Thăm hỏi, trợ cấp cán bộ thuộc diện BTV Tỉnh ủy quản lý (tạm tính)</t>
  </si>
  <si>
    <t>Thăm viếng các đối tượng theo Quy định số 03 (tạm tính)</t>
  </si>
  <si>
    <t>Thăm hỏi, trợ cấp cán bộ theo Quy định 744 của tỉnh (tạm tính)</t>
  </si>
  <si>
    <t>Kinh phí hoạt động của Ban Chỉ đạo theo Quyết định 94 của huyện</t>
  </si>
  <si>
    <t>KP các Đoàn kiểm tra, giám sát của UBKT Huyện ủy</t>
  </si>
  <si>
    <t xml:space="preserve">KP chúc mừng các cơ quan đóng trên địa bàn nhân ngày thành lập </t>
  </si>
  <si>
    <t>KP chúc mừng các ban Đảng và cơ quan cấp tỉnh nhân ngày thành lập</t>
  </si>
  <si>
    <t xml:space="preserve">KP bảo vệ di tích LSVH cấp tỉnh theo QĐ 26 của tỉnh </t>
  </si>
  <si>
    <t>KP hoạt động của ban BVSKCB theo VB 1278/CV/VPTƯ</t>
  </si>
  <si>
    <t xml:space="preserve">KP tổng kết 5 năm phong trào thi đua yêu nước " CCB gương mẫu " </t>
  </si>
  <si>
    <t>Hỗ trợ xây dựng Trung tâm đạt chuẩn</t>
  </si>
  <si>
    <t>Kinh phí phát sóng phóng sự, mua sắm thiết bị</t>
  </si>
  <si>
    <t>Chi phí hoạt động của các tổ đại biểu (8 tổ)</t>
  </si>
  <si>
    <t>Văn phòng phẩm, báo chí và chi khác</t>
  </si>
  <si>
    <t>- Kinh phí chính lý tài liệu</t>
  </si>
  <si>
    <t>Hỗ trợ Ban Chỉ đạo theo QĐ số 497-QĐ/HU và Đề án cán bộ</t>
  </si>
  <si>
    <t>KP làm việc, đi công tác và chi khác của cấp ủy</t>
  </si>
  <si>
    <t>Tiền xăng, sửa xe và mua bảo hiểm xe ô tô</t>
  </si>
  <si>
    <t>* Kinh phí của Cơ quan Mặt trận tổ quốc</t>
  </si>
  <si>
    <t>* Kinh phí chi chung khối đoàn thể</t>
  </si>
  <si>
    <t>Hỗ trợ tham quan học tập mô hình khối đoàn thể</t>
  </si>
  <si>
    <t>Kinh phí phổ biến, tuyên truyền giáo dục pháp luật</t>
  </si>
  <si>
    <t>KP Hội đồng tư vấn giải quyết đơn thư</t>
  </si>
  <si>
    <t>KP Hội đồng giáo dục quốc phòng - an ninh</t>
  </si>
  <si>
    <t>KP hỗ trợ đồng bào dân tộc thiểu số</t>
  </si>
  <si>
    <t>Hỗ trợ 3 đồn biên phòng (3 đồn x 20 triệu/đồn)</t>
  </si>
  <si>
    <t>Kinh phí Ban Chỉ đạo cải cách hành chính</t>
  </si>
  <si>
    <t>Kinh phí hoạt động của Ban an toàn giao thông huyện</t>
  </si>
  <si>
    <t>Sự nghiệp Văn hóa - Truyền thông</t>
  </si>
  <si>
    <t>Thực hiện nhiệm vụ</t>
  </si>
  <si>
    <t>huận bút và phụ cấp Ban Biên tập, trang thông tin điện tử</t>
  </si>
  <si>
    <t>Hỗ trợ xây dựng, mua sắm CSVC trường học</t>
  </si>
  <si>
    <t>7.7</t>
  </si>
  <si>
    <t>Bảo trợ xã hội theo Nghị quyết 151/2019/NQHĐND tỉnh</t>
  </si>
  <si>
    <t xml:space="preserve">Từ nguồn bổ sung cân đối </t>
  </si>
  <si>
    <t>Chi đầu tư xây dựng các công trình</t>
  </si>
  <si>
    <t xml:space="preserve">Đối ứng duy tu đường GTNT theo Quyết định số 1962/QĐ-UBND ngày 13/7/2017 của UBND tỉnh </t>
  </si>
  <si>
    <t xml:space="preserve">Trung tâm y tế: </t>
  </si>
  <si>
    <t>Đơn vị tính: 1.000 đồng</t>
  </si>
  <si>
    <t>Chi đầu tư phát triển từ nguồn cấp quyền SD đất</t>
  </si>
  <si>
    <t>Kinh phí chúc thọ, mừng thọ cho người cao tuổi (30 % NS huyện)</t>
  </si>
  <si>
    <t>Sự nghiệp thông tin - Du lịch</t>
  </si>
  <si>
    <t xml:space="preserve">PHỤ LỤC </t>
  </si>
  <si>
    <t>Biểu số: 02/DT-CNS</t>
  </si>
  <si>
    <t>Biểu số: 01/DT-TNS</t>
  </si>
  <si>
    <t>Nông dân</t>
  </si>
  <si>
    <t xml:space="preserve">Trung tâm chính trị </t>
  </si>
  <si>
    <t>Trung tâm Văn hóa truyền thông</t>
  </si>
  <si>
    <t>4.3</t>
  </si>
  <si>
    <t>Hỗ trợ NH CSXH bổ sung quỹ cho vay các đối tượng chính sách</t>
  </si>
  <si>
    <t>DỰ TOÁN THU NGÂN SÁCH NĂM 2022</t>
  </si>
  <si>
    <t>c</t>
  </si>
  <si>
    <t>d</t>
  </si>
  <si>
    <t>PHỤ LỤC: DỰ TOÁN CHI NGÂN SÁCH NĂM 2022</t>
  </si>
  <si>
    <t>Chế độ bảo trợ xã hội theo NĐ 20/2021/NĐ-CP</t>
  </si>
  <si>
    <t>Kinh phí đào tạo, dạy nghề</t>
  </si>
  <si>
    <t>e</t>
  </si>
  <si>
    <t>Thực hiện công tác đo đạc, đăng ký, lập cơ sở dữ liệu, hồ sơ địa chính và cấp giấy chứng nhận quyền sử dụng đất</t>
  </si>
  <si>
    <t xml:space="preserve">Kinh phí thực hiện tiêu chí xây dựng huyện đạt chuẩn NTM; hỗ trợ xã xây dựng nông thôn mới, Thị trấn xây dựng đô thị văn minh </t>
  </si>
  <si>
    <t xml:space="preserve"> 8.2</t>
  </si>
  <si>
    <t>Kinh phí hoạt động của Trung tâm HCC huyện</t>
  </si>
  <si>
    <t>8.5</t>
  </si>
  <si>
    <t>Dự toán thu năm 2022</t>
  </si>
  <si>
    <t>Dự toán năm 2022</t>
  </si>
  <si>
    <t>Các khoản phân cấp theo quy định của TW, tỉnh, huyện</t>
  </si>
  <si>
    <t xml:space="preserve">Kinh phí thực hiện dự án trồng cây xanh </t>
  </si>
  <si>
    <t>Kinh phí nâng cấp Trường cấp II Hương Phúc</t>
  </si>
  <si>
    <t>Kinh phí nâng cấp Đền Cây Chay xã Phú Phong</t>
  </si>
  <si>
    <t>Kinh phí mua thẻ BHYT cho các đối tượng</t>
  </si>
  <si>
    <t>Cải tạo, sửa chữa cơ sở vật chất Huyện ủy</t>
  </si>
  <si>
    <t>Cải tạo trụ sở cơ quan UBND huyện, trụ sở làm việc Trung tâm Ứng dụng khoa học kỹ thuật và Bảo vệ cây trồng, vật nuôi huyện</t>
  </si>
  <si>
    <t>SN Tài nguyên - Môi trường, xử lý rác thải</t>
  </si>
  <si>
    <t>Kinh phí mua sắm ghế ngồi hội họp Nhà văn hóa huyện</t>
  </si>
  <si>
    <t>(Kèm theo Nghị quyết số       /NQ-HĐND ngày     12/2021 của HĐND huyện)</t>
  </si>
  <si>
    <t>(Kèm theo Nghị quyết số          /NQ-HĐND ngày    /12/2021 của HĐND huyện)</t>
  </si>
  <si>
    <t>Kinh phí đầu tư xây dựng công trình Công viên cây xanh kết hợp Quảng trường trung tâm huyện Hương Khê</t>
  </si>
  <si>
    <t>HỘI ĐỒNG NHÂN DÂN HUYỆN</t>
  </si>
  <si>
    <r>
      <t xml:space="preserve">                                                                                                                      </t>
    </r>
    <r>
      <rPr>
        <i/>
        <sz val="12"/>
        <rFont val="Times New Roman"/>
        <family val="1"/>
      </rPr>
      <t>Đơn vị tính: 1.000 đồng</t>
    </r>
  </si>
  <si>
    <t>* Trong đó: Kinh phí chi chung khối đoàn thể</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</si>
</sst>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0.000"/>
    <numFmt numFmtId="179" formatCode="#,##0.000"/>
    <numFmt numFmtId="180" formatCode="#,##0.0"/>
    <numFmt numFmtId="181" formatCode="\(0\)"/>
  </numFmts>
  <fonts count="60">
    <font>
      <sz val="10"/>
      <name val="Arial"/>
      <family val="0"/>
    </font>
    <font>
      <i/>
      <sz val="12"/>
      <name val="Times New Roman"/>
      <family val="1"/>
    </font>
    <font>
      <sz val="12"/>
      <name val="Times New Roman"/>
      <family val="1"/>
    </font>
    <font>
      <b/>
      <sz val="14"/>
      <name val="Times New Roman"/>
      <family val="1"/>
    </font>
    <font>
      <sz val="10"/>
      <name val="Times New Roman"/>
      <family val="1"/>
    </font>
    <font>
      <sz val="8"/>
      <name val="Arial"/>
      <family val="2"/>
    </font>
    <font>
      <b/>
      <sz val="12"/>
      <name val="Times New Roman"/>
      <family val="1"/>
    </font>
    <font>
      <u val="single"/>
      <sz val="10"/>
      <color indexed="12"/>
      <name val="Arial"/>
      <family val="2"/>
    </font>
    <font>
      <u val="single"/>
      <sz val="10"/>
      <color indexed="36"/>
      <name val="Arial"/>
      <family val="2"/>
    </font>
    <font>
      <b/>
      <i/>
      <sz val="12"/>
      <name val="Times New Roman"/>
      <family val="1"/>
    </font>
    <font>
      <b/>
      <sz val="10"/>
      <name val="Arial"/>
      <family val="2"/>
    </font>
    <font>
      <b/>
      <i/>
      <sz val="10"/>
      <name val="Arial"/>
      <family val="2"/>
    </font>
    <font>
      <sz val="11"/>
      <name val="Times New Roman"/>
      <family val="1"/>
    </font>
    <font>
      <i/>
      <sz val="8"/>
      <name val="Arial"/>
      <family val="2"/>
    </font>
    <font>
      <sz val="12"/>
      <name val=".VnTime"/>
      <family val="2"/>
    </font>
    <font>
      <b/>
      <sz val="13"/>
      <name val="Times New Roman"/>
      <family val="1"/>
    </font>
    <font>
      <sz val="13"/>
      <name val="Times New Roman"/>
      <family val="1"/>
    </font>
    <font>
      <i/>
      <sz val="13"/>
      <name val="Times New Roman"/>
      <family val="1"/>
    </font>
    <font>
      <sz val="9"/>
      <name val="Arial"/>
      <family val="2"/>
    </font>
    <font>
      <i/>
      <sz val="10"/>
      <name val="Arial"/>
      <family val="2"/>
    </font>
    <font>
      <i/>
      <sz val="11"/>
      <name val="Times New Roman"/>
      <family val="1"/>
    </font>
    <font>
      <sz val="11"/>
      <name val="Arial"/>
      <family val="2"/>
    </font>
    <font>
      <sz val="12"/>
      <name val="Arial"/>
      <family val="2"/>
    </font>
    <font>
      <i/>
      <sz val="12"/>
      <name val="Arial"/>
      <family val="2"/>
    </font>
    <font>
      <b/>
      <sz val="12"/>
      <name val="Arial"/>
      <family val="2"/>
    </font>
    <font>
      <b/>
      <i/>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color indexed="63"/>
      </right>
      <top>
        <color indexed="63"/>
      </top>
      <bottom>
        <color indexed="63"/>
      </bottom>
    </border>
    <border>
      <left>
        <color indexed="63"/>
      </left>
      <right style="thin"/>
      <top style="hair"/>
      <bottom style="hair"/>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3" fontId="2" fillId="0" borderId="0">
      <alignment vertical="center" wrapText="1"/>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3">
    <xf numFmtId="0" fontId="0" fillId="0" borderId="0" xfId="0" applyAlignment="1">
      <alignment/>
    </xf>
    <xf numFmtId="3" fontId="3" fillId="0" borderId="10" xfId="0" applyNumberFormat="1" applyFont="1" applyFill="1" applyBorder="1" applyAlignment="1">
      <alignment horizontal="center" vertical="center" wrapText="1"/>
    </xf>
    <xf numFmtId="3" fontId="2" fillId="0" borderId="11" xfId="0" applyNumberFormat="1" applyFont="1" applyFill="1" applyBorder="1" applyAlignment="1">
      <alignment/>
    </xf>
    <xf numFmtId="0" fontId="4" fillId="0" borderId="0" xfId="0" applyFont="1" applyFill="1" applyAlignment="1">
      <alignment horizontal="center"/>
    </xf>
    <xf numFmtId="0" fontId="4" fillId="0" borderId="0" xfId="0" applyFont="1" applyFill="1" applyAlignment="1">
      <alignment/>
    </xf>
    <xf numFmtId="3" fontId="4" fillId="0" borderId="0" xfId="0" applyNumberFormat="1" applyFont="1" applyFill="1" applyAlignment="1">
      <alignment/>
    </xf>
    <xf numFmtId="0" fontId="10" fillId="0" borderId="0" xfId="0" applyFont="1" applyFill="1" applyAlignment="1">
      <alignment/>
    </xf>
    <xf numFmtId="0" fontId="11"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3" fontId="14" fillId="0" borderId="11" xfId="0" applyNumberFormat="1" applyFont="1" applyFill="1" applyBorder="1" applyAlignment="1">
      <alignment/>
    </xf>
    <xf numFmtId="3" fontId="6" fillId="0" borderId="11" xfId="0" applyNumberFormat="1" applyFont="1" applyFill="1" applyBorder="1" applyAlignment="1">
      <alignment/>
    </xf>
    <xf numFmtId="0" fontId="2" fillId="0" borderId="11" xfId="0" applyFont="1" applyFill="1" applyBorder="1" applyAlignment="1">
      <alignment/>
    </xf>
    <xf numFmtId="0" fontId="2" fillId="0" borderId="11" xfId="0" applyFont="1" applyFill="1" applyBorder="1" applyAlignment="1" quotePrefix="1">
      <alignment/>
    </xf>
    <xf numFmtId="0" fontId="2" fillId="0" borderId="11" xfId="0" applyFont="1" applyFill="1" applyBorder="1" applyAlignment="1">
      <alignment wrapText="1"/>
    </xf>
    <xf numFmtId="0" fontId="19" fillId="0" borderId="0" xfId="0" applyFont="1" applyFill="1" applyAlignment="1">
      <alignment/>
    </xf>
    <xf numFmtId="0" fontId="0" fillId="0" borderId="0" xfId="0" applyFont="1" applyFill="1" applyAlignment="1">
      <alignment/>
    </xf>
    <xf numFmtId="3" fontId="0" fillId="0" borderId="12" xfId="0" applyNumberFormat="1" applyFont="1" applyFill="1" applyBorder="1" applyAlignment="1">
      <alignment wrapText="1"/>
    </xf>
    <xf numFmtId="0" fontId="5" fillId="0" borderId="0" xfId="0" applyFont="1" applyFill="1" applyAlignment="1">
      <alignment/>
    </xf>
    <xf numFmtId="0" fontId="0" fillId="0" borderId="13" xfId="0" applyFont="1" applyFill="1" applyBorder="1" applyAlignment="1">
      <alignment/>
    </xf>
    <xf numFmtId="0" fontId="0" fillId="0" borderId="0" xfId="0" applyFont="1" applyFill="1" applyBorder="1" applyAlignment="1">
      <alignment/>
    </xf>
    <xf numFmtId="0" fontId="6" fillId="0" borderId="14" xfId="0" applyFont="1" applyFill="1" applyBorder="1" applyAlignment="1">
      <alignment horizontal="center"/>
    </xf>
    <xf numFmtId="0" fontId="6" fillId="0" borderId="14" xfId="0" applyFont="1" applyFill="1" applyBorder="1" applyAlignment="1">
      <alignment/>
    </xf>
    <xf numFmtId="3" fontId="6" fillId="0" borderId="14" xfId="0" applyNumberFormat="1" applyFont="1" applyFill="1" applyBorder="1" applyAlignment="1">
      <alignment/>
    </xf>
    <xf numFmtId="0" fontId="0" fillId="0" borderId="14" xfId="0" applyFont="1" applyFill="1" applyBorder="1" applyAlignment="1">
      <alignment/>
    </xf>
    <xf numFmtId="0" fontId="6" fillId="0" borderId="15" xfId="0" applyFont="1" applyFill="1" applyBorder="1" applyAlignment="1">
      <alignment horizontal="center"/>
    </xf>
    <xf numFmtId="0" fontId="6" fillId="0" borderId="15" xfId="0" applyFont="1" applyFill="1" applyBorder="1" applyAlignment="1">
      <alignment/>
    </xf>
    <xf numFmtId="3" fontId="6" fillId="0" borderId="15" xfId="0" applyNumberFormat="1" applyFont="1" applyFill="1" applyBorder="1" applyAlignment="1">
      <alignment/>
    </xf>
    <xf numFmtId="0" fontId="0" fillId="0" borderId="15" xfId="0" applyFont="1" applyFill="1" applyBorder="1" applyAlignment="1">
      <alignment/>
    </xf>
    <xf numFmtId="3" fontId="0" fillId="0" borderId="15" xfId="0" applyNumberFormat="1" applyFont="1" applyFill="1" applyBorder="1" applyAlignment="1">
      <alignment/>
    </xf>
    <xf numFmtId="0" fontId="2" fillId="0" borderId="15" xfId="0" applyFont="1" applyFill="1" applyBorder="1" applyAlignment="1">
      <alignment horizontal="center"/>
    </xf>
    <xf numFmtId="0" fontId="2" fillId="0" borderId="15" xfId="0" applyFont="1" applyFill="1" applyBorder="1" applyAlignment="1">
      <alignment wrapText="1"/>
    </xf>
    <xf numFmtId="3" fontId="2" fillId="0" borderId="15" xfId="0" applyNumberFormat="1" applyFont="1" applyFill="1" applyBorder="1" applyAlignment="1">
      <alignment/>
    </xf>
    <xf numFmtId="0" fontId="2" fillId="0" borderId="15" xfId="0" applyFont="1" applyFill="1" applyBorder="1" applyAlignment="1">
      <alignment/>
    </xf>
    <xf numFmtId="0" fontId="2" fillId="0" borderId="15" xfId="0" applyFont="1" applyFill="1" applyBorder="1" applyAlignment="1" quotePrefix="1">
      <alignment horizontal="center"/>
    </xf>
    <xf numFmtId="0" fontId="2" fillId="0" borderId="15" xfId="0" applyFont="1" applyFill="1" applyBorder="1" applyAlignment="1">
      <alignment/>
    </xf>
    <xf numFmtId="3" fontId="2" fillId="0" borderId="15" xfId="0" applyNumberFormat="1" applyFont="1" applyFill="1" applyBorder="1" applyAlignment="1">
      <alignment/>
    </xf>
    <xf numFmtId="0" fontId="12" fillId="0" borderId="15" xfId="0" applyFont="1" applyFill="1" applyBorder="1" applyAlignment="1">
      <alignment vertical="center" wrapText="1"/>
    </xf>
    <xf numFmtId="0" fontId="12" fillId="0" borderId="15" xfId="0" applyFont="1" applyFill="1" applyBorder="1" applyAlignment="1">
      <alignment/>
    </xf>
    <xf numFmtId="2" fontId="18" fillId="0" borderId="15" xfId="0" applyNumberFormat="1" applyFont="1" applyFill="1" applyBorder="1" applyAlignment="1">
      <alignment horizontal="center" wrapText="1"/>
    </xf>
    <xf numFmtId="0" fontId="1" fillId="0" borderId="15" xfId="0" applyFont="1" applyFill="1" applyBorder="1" applyAlignment="1" quotePrefix="1">
      <alignment horizontal="center"/>
    </xf>
    <xf numFmtId="0" fontId="1" fillId="0" borderId="15" xfId="0" applyFont="1" applyFill="1" applyBorder="1" applyAlignment="1">
      <alignment/>
    </xf>
    <xf numFmtId="3" fontId="1" fillId="0" borderId="15" xfId="0" applyNumberFormat="1" applyFont="1" applyFill="1" applyBorder="1" applyAlignment="1">
      <alignment/>
    </xf>
    <xf numFmtId="0" fontId="1" fillId="0" borderId="15" xfId="0" applyFont="1" applyFill="1" applyBorder="1" applyAlignment="1">
      <alignment horizontal="center"/>
    </xf>
    <xf numFmtId="0" fontId="19" fillId="0" borderId="15" xfId="0" applyFont="1" applyFill="1" applyBorder="1" applyAlignment="1">
      <alignment/>
    </xf>
    <xf numFmtId="3" fontId="1" fillId="0" borderId="15" xfId="0" applyNumberFormat="1" applyFont="1" applyFill="1" applyBorder="1" applyAlignment="1">
      <alignment/>
    </xf>
    <xf numFmtId="0" fontId="10" fillId="0" borderId="15" xfId="0" applyFont="1" applyFill="1" applyBorder="1" applyAlignment="1">
      <alignment/>
    </xf>
    <xf numFmtId="0" fontId="6" fillId="0" borderId="15" xfId="0" applyFont="1" applyFill="1" applyBorder="1" applyAlignment="1">
      <alignment/>
    </xf>
    <xf numFmtId="3" fontId="6" fillId="0" borderId="15" xfId="0" applyNumberFormat="1" applyFont="1" applyFill="1" applyBorder="1" applyAlignment="1">
      <alignment/>
    </xf>
    <xf numFmtId="0" fontId="1" fillId="0" borderId="15" xfId="0" applyFont="1" applyFill="1" applyBorder="1" applyAlignment="1">
      <alignment/>
    </xf>
    <xf numFmtId="0" fontId="13" fillId="0" borderId="15" xfId="0" applyFont="1" applyFill="1" applyBorder="1" applyAlignment="1">
      <alignment/>
    </xf>
    <xf numFmtId="0" fontId="20" fillId="0" borderId="15" xfId="0" applyFont="1" applyFill="1" applyBorder="1" applyAlignment="1">
      <alignment/>
    </xf>
    <xf numFmtId="0" fontId="12" fillId="0" borderId="15" xfId="0" applyFont="1" applyFill="1" applyBorder="1" applyAlignment="1">
      <alignment/>
    </xf>
    <xf numFmtId="0" fontId="20" fillId="0" borderId="15" xfId="0" applyFont="1" applyFill="1" applyBorder="1" applyAlignment="1">
      <alignment/>
    </xf>
    <xf numFmtId="0" fontId="5" fillId="0" borderId="15" xfId="0" applyFont="1" applyFill="1" applyBorder="1" applyAlignment="1">
      <alignment/>
    </xf>
    <xf numFmtId="0" fontId="12" fillId="0" borderId="15" xfId="0" applyFont="1" applyFill="1" applyBorder="1" applyAlignment="1">
      <alignment vertical="center" wrapText="1"/>
    </xf>
    <xf numFmtId="0" fontId="1" fillId="0" borderId="15" xfId="0" applyFont="1" applyFill="1" applyBorder="1" applyAlignment="1" quotePrefix="1">
      <alignment/>
    </xf>
    <xf numFmtId="0" fontId="12" fillId="0" borderId="15" xfId="0" applyFont="1" applyFill="1" applyBorder="1" applyAlignment="1">
      <alignment wrapText="1"/>
    </xf>
    <xf numFmtId="0" fontId="2" fillId="0" borderId="15" xfId="0" applyFont="1" applyFill="1" applyBorder="1" applyAlignment="1">
      <alignment vertical="center" wrapText="1"/>
    </xf>
    <xf numFmtId="0" fontId="2" fillId="0" borderId="15" xfId="0" applyFont="1" applyFill="1" applyBorder="1" applyAlignment="1" quotePrefix="1">
      <alignment/>
    </xf>
    <xf numFmtId="0" fontId="1" fillId="0" borderId="15" xfId="0" applyFont="1" applyFill="1" applyBorder="1" applyAlignment="1">
      <alignment wrapText="1"/>
    </xf>
    <xf numFmtId="0" fontId="9" fillId="0" borderId="15" xfId="0" applyFont="1" applyFill="1" applyBorder="1" applyAlignment="1">
      <alignment/>
    </xf>
    <xf numFmtId="0" fontId="9" fillId="0" borderId="15" xfId="0" applyFont="1" applyFill="1" applyBorder="1" applyAlignment="1">
      <alignment horizontal="center"/>
    </xf>
    <xf numFmtId="0" fontId="12" fillId="0" borderId="15" xfId="0" applyFont="1" applyFill="1" applyBorder="1" applyAlignment="1">
      <alignment horizontal="left" vertical="center" wrapText="1"/>
    </xf>
    <xf numFmtId="3" fontId="2" fillId="0" borderId="15" xfId="0" applyNumberFormat="1" applyFont="1" applyFill="1" applyBorder="1" applyAlignment="1">
      <alignment horizontal="center" vertical="center" wrapText="1"/>
    </xf>
    <xf numFmtId="0" fontId="11" fillId="0" borderId="15" xfId="0" applyFont="1" applyFill="1" applyBorder="1" applyAlignment="1">
      <alignment/>
    </xf>
    <xf numFmtId="0" fontId="2" fillId="0" borderId="15" xfId="0" applyFont="1" applyFill="1" applyBorder="1" applyAlignment="1">
      <alignment wrapText="1"/>
    </xf>
    <xf numFmtId="0" fontId="2" fillId="0" borderId="15" xfId="0" applyFont="1" applyFill="1" applyBorder="1" applyAlignment="1">
      <alignment horizontal="left" wrapText="1"/>
    </xf>
    <xf numFmtId="0" fontId="2" fillId="0" borderId="15" xfId="0" applyFont="1" applyFill="1" applyBorder="1" applyAlignment="1">
      <alignment/>
    </xf>
    <xf numFmtId="3" fontId="2" fillId="0" borderId="15" xfId="0" applyNumberFormat="1" applyFont="1" applyFill="1" applyBorder="1" applyAlignment="1">
      <alignment/>
    </xf>
    <xf numFmtId="0" fontId="0" fillId="0" borderId="15" xfId="0" applyFont="1" applyFill="1" applyBorder="1" applyAlignment="1">
      <alignment/>
    </xf>
    <xf numFmtId="3" fontId="14" fillId="0" borderId="15" xfId="0" applyNumberFormat="1" applyFont="1" applyFill="1" applyBorder="1" applyAlignment="1">
      <alignment/>
    </xf>
    <xf numFmtId="0" fontId="2" fillId="0" borderId="16" xfId="0" applyFont="1" applyFill="1" applyBorder="1" applyAlignment="1">
      <alignment horizontal="center"/>
    </xf>
    <xf numFmtId="0" fontId="2" fillId="0" borderId="16" xfId="0" applyFont="1" applyFill="1" applyBorder="1" applyAlignment="1">
      <alignment/>
    </xf>
    <xf numFmtId="3" fontId="2" fillId="0" borderId="16" xfId="0" applyNumberFormat="1" applyFont="1" applyFill="1" applyBorder="1" applyAlignment="1">
      <alignment/>
    </xf>
    <xf numFmtId="0" fontId="0" fillId="0" borderId="16" xfId="0" applyFont="1" applyFill="1" applyBorder="1" applyAlignment="1">
      <alignment/>
    </xf>
    <xf numFmtId="0" fontId="2" fillId="0" borderId="15" xfId="0" applyFont="1" applyFill="1" applyBorder="1" applyAlignment="1">
      <alignment vertical="center" wrapText="1"/>
    </xf>
    <xf numFmtId="0" fontId="21" fillId="0" borderId="15" xfId="0" applyFont="1" applyFill="1" applyBorder="1" applyAlignment="1">
      <alignment vertical="center" wrapText="1"/>
    </xf>
    <xf numFmtId="0" fontId="1" fillId="0" borderId="15" xfId="58" applyFont="1" applyFill="1" applyBorder="1">
      <alignment/>
      <protection/>
    </xf>
    <xf numFmtId="0" fontId="1" fillId="0" borderId="15" xfId="0" applyFont="1" applyFill="1" applyBorder="1" applyAlignment="1">
      <alignment wrapText="1"/>
    </xf>
    <xf numFmtId="3" fontId="2" fillId="0" borderId="15" xfId="0" applyNumberFormat="1" applyFont="1" applyFill="1" applyBorder="1" applyAlignment="1">
      <alignment horizontal="right" vertical="center" wrapText="1"/>
    </xf>
    <xf numFmtId="0" fontId="4" fillId="0" borderId="15" xfId="0" applyFont="1" applyFill="1" applyBorder="1" applyAlignment="1">
      <alignment/>
    </xf>
    <xf numFmtId="0" fontId="2" fillId="0" borderId="15" xfId="0" applyFont="1" applyFill="1" applyBorder="1" applyAlignment="1" quotePrefix="1">
      <alignment/>
    </xf>
    <xf numFmtId="0" fontId="9" fillId="0" borderId="15" xfId="0" applyFont="1" applyFill="1" applyBorder="1" applyAlignment="1">
      <alignment wrapText="1"/>
    </xf>
    <xf numFmtId="3" fontId="9" fillId="0" borderId="15" xfId="0" applyNumberFormat="1" applyFont="1" applyFill="1" applyBorder="1" applyAlignment="1">
      <alignment/>
    </xf>
    <xf numFmtId="0" fontId="2" fillId="33" borderId="15" xfId="0" applyFont="1" applyFill="1" applyBorder="1" applyAlignment="1">
      <alignment/>
    </xf>
    <xf numFmtId="3" fontId="2" fillId="33" borderId="15" xfId="0" applyNumberFormat="1" applyFont="1" applyFill="1" applyBorder="1" applyAlignment="1">
      <alignment/>
    </xf>
    <xf numFmtId="3" fontId="2" fillId="33" borderId="15" xfId="0" applyNumberFormat="1" applyFont="1" applyFill="1" applyBorder="1" applyAlignment="1">
      <alignment/>
    </xf>
    <xf numFmtId="0" fontId="2" fillId="33" borderId="15" xfId="0" applyFont="1" applyFill="1" applyBorder="1" applyAlignment="1">
      <alignment horizontal="center"/>
    </xf>
    <xf numFmtId="0" fontId="5" fillId="33" borderId="15" xfId="0" applyFont="1" applyFill="1" applyBorder="1" applyAlignment="1">
      <alignment/>
    </xf>
    <xf numFmtId="0" fontId="0" fillId="33"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vertical="center"/>
    </xf>
    <xf numFmtId="0" fontId="19" fillId="0" borderId="0" xfId="0" applyFont="1" applyFill="1" applyAlignment="1">
      <alignment vertical="center"/>
    </xf>
    <xf numFmtId="0" fontId="10" fillId="0" borderId="0" xfId="0" applyFont="1" applyFill="1" applyAlignment="1">
      <alignment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3" fontId="4" fillId="0" borderId="0" xfId="0" applyNumberFormat="1" applyFont="1" applyFill="1" applyAlignment="1">
      <alignment vertical="center"/>
    </xf>
    <xf numFmtId="3" fontId="0" fillId="0" borderId="0" xfId="0" applyNumberFormat="1" applyFont="1" applyFill="1" applyAlignment="1">
      <alignment vertical="center"/>
    </xf>
    <xf numFmtId="0" fontId="16" fillId="0" borderId="0" xfId="0" applyFont="1" applyFill="1" applyAlignment="1">
      <alignment vertical="center"/>
    </xf>
    <xf numFmtId="0" fontId="16" fillId="0" borderId="17" xfId="0" applyFont="1" applyFill="1" applyBorder="1" applyAlignment="1">
      <alignment vertical="center"/>
    </xf>
    <xf numFmtId="3" fontId="16" fillId="0" borderId="0" xfId="0" applyNumberFormat="1" applyFont="1" applyFill="1" applyAlignment="1">
      <alignment vertical="center"/>
    </xf>
    <xf numFmtId="0" fontId="15" fillId="0" borderId="0" xfId="0" applyFont="1" applyFill="1" applyAlignment="1">
      <alignment vertical="center"/>
    </xf>
    <xf numFmtId="0" fontId="16" fillId="0" borderId="18" xfId="0" applyFont="1" applyFill="1" applyBorder="1" applyAlignment="1">
      <alignment vertical="center"/>
    </xf>
    <xf numFmtId="3" fontId="16" fillId="0" borderId="18" xfId="0" applyNumberFormat="1" applyFont="1" applyFill="1" applyBorder="1" applyAlignment="1">
      <alignment vertical="center"/>
    </xf>
    <xf numFmtId="0" fontId="16" fillId="0" borderId="0" xfId="0" applyFont="1" applyFill="1" applyBorder="1" applyAlignment="1">
      <alignment vertical="center"/>
    </xf>
    <xf numFmtId="3" fontId="16" fillId="0" borderId="0" xfId="0" applyNumberFormat="1" applyFont="1" applyFill="1" applyBorder="1" applyAlignment="1">
      <alignment vertical="center"/>
    </xf>
    <xf numFmtId="0" fontId="6" fillId="0" borderId="14" xfId="0" applyFont="1" applyFill="1" applyBorder="1" applyAlignment="1">
      <alignment vertical="center"/>
    </xf>
    <xf numFmtId="0" fontId="6" fillId="0" borderId="14" xfId="0" applyFont="1" applyFill="1" applyBorder="1" applyAlignment="1">
      <alignment horizontal="center" vertical="center"/>
    </xf>
    <xf numFmtId="3" fontId="6" fillId="0" borderId="14" xfId="0" applyNumberFormat="1"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vertical="center"/>
    </xf>
    <xf numFmtId="3" fontId="6" fillId="0" borderId="15" xfId="0" applyNumberFormat="1" applyFont="1" applyFill="1" applyBorder="1" applyAlignment="1">
      <alignment vertical="center"/>
    </xf>
    <xf numFmtId="0" fontId="9" fillId="0" borderId="15" xfId="0" applyFont="1" applyFill="1" applyBorder="1" applyAlignment="1">
      <alignment vertical="center"/>
    </xf>
    <xf numFmtId="3" fontId="9" fillId="0" borderId="15" xfId="0" applyNumberFormat="1" applyFont="1" applyFill="1" applyBorder="1" applyAlignment="1">
      <alignment vertical="center"/>
    </xf>
    <xf numFmtId="0" fontId="2" fillId="0" borderId="15" xfId="0" applyFont="1" applyFill="1" applyBorder="1" applyAlignment="1">
      <alignment horizontal="center" vertical="center"/>
    </xf>
    <xf numFmtId="0" fontId="2" fillId="0" borderId="15" xfId="0" applyFont="1" applyFill="1" applyBorder="1" applyAlignment="1">
      <alignment vertical="center"/>
    </xf>
    <xf numFmtId="3" fontId="2" fillId="0" borderId="15" xfId="0" applyNumberFormat="1" applyFont="1" applyFill="1" applyBorder="1" applyAlignment="1">
      <alignment vertical="center"/>
    </xf>
    <xf numFmtId="9" fontId="2" fillId="0" borderId="15" xfId="61" applyFont="1" applyFill="1" applyBorder="1" applyAlignment="1">
      <alignment vertical="center"/>
    </xf>
    <xf numFmtId="0" fontId="22" fillId="0" borderId="14" xfId="0" applyFont="1" applyFill="1" applyBorder="1" applyAlignment="1">
      <alignment vertical="center"/>
    </xf>
    <xf numFmtId="0" fontId="22" fillId="0" borderId="15" xfId="0" applyFont="1" applyFill="1" applyBorder="1" applyAlignment="1">
      <alignment vertical="center"/>
    </xf>
    <xf numFmtId="3" fontId="21" fillId="0" borderId="15" xfId="0" applyNumberFormat="1" applyFont="1" applyFill="1" applyBorder="1" applyAlignment="1">
      <alignment vertical="center"/>
    </xf>
    <xf numFmtId="0" fontId="2" fillId="0" borderId="15" xfId="0" applyFont="1" applyFill="1" applyBorder="1" applyAlignment="1">
      <alignment horizontal="center" vertical="center" wrapText="1"/>
    </xf>
    <xf numFmtId="0" fontId="2" fillId="0" borderId="15" xfId="0" applyFont="1" applyFill="1" applyBorder="1" applyAlignment="1" quotePrefix="1">
      <alignment horizontal="center" vertical="center"/>
    </xf>
    <xf numFmtId="0" fontId="2" fillId="0" borderId="15" xfId="0" applyFont="1" applyFill="1" applyBorder="1" applyAlignment="1">
      <alignment vertical="center"/>
    </xf>
    <xf numFmtId="2" fontId="22" fillId="0" borderId="15" xfId="0" applyNumberFormat="1" applyFont="1" applyFill="1" applyBorder="1" applyAlignment="1">
      <alignment horizontal="center" vertical="center" wrapText="1"/>
    </xf>
    <xf numFmtId="0" fontId="1" fillId="0" borderId="15" xfId="0" applyFont="1" applyFill="1" applyBorder="1" applyAlignment="1">
      <alignment vertical="center"/>
    </xf>
    <xf numFmtId="3" fontId="1" fillId="0" borderId="15" xfId="0" applyNumberFormat="1" applyFont="1" applyFill="1" applyBorder="1" applyAlignment="1">
      <alignment vertical="center"/>
    </xf>
    <xf numFmtId="3" fontId="2" fillId="0" borderId="15" xfId="0" applyNumberFormat="1" applyFont="1" applyFill="1" applyBorder="1" applyAlignment="1">
      <alignment vertical="center"/>
    </xf>
    <xf numFmtId="0" fontId="1" fillId="0" borderId="15" xfId="0" applyFont="1" applyFill="1" applyBorder="1" applyAlignment="1">
      <alignment horizontal="center" vertical="center"/>
    </xf>
    <xf numFmtId="0" fontId="23" fillId="0" borderId="15" xfId="0" applyFont="1" applyFill="1" applyBorder="1" applyAlignment="1">
      <alignment vertical="center"/>
    </xf>
    <xf numFmtId="0" fontId="6" fillId="0" borderId="15" xfId="0" applyFont="1" applyFill="1" applyBorder="1" applyAlignment="1">
      <alignment vertical="center"/>
    </xf>
    <xf numFmtId="3" fontId="6" fillId="0" borderId="15" xfId="0" applyNumberFormat="1" applyFont="1" applyFill="1" applyBorder="1" applyAlignment="1">
      <alignment vertical="center"/>
    </xf>
    <xf numFmtId="0" fontId="1" fillId="0" borderId="15" xfId="0" applyFont="1" applyFill="1" applyBorder="1" applyAlignment="1">
      <alignment vertical="center" wrapText="1"/>
    </xf>
    <xf numFmtId="3" fontId="22" fillId="0" borderId="15" xfId="0" applyNumberFormat="1" applyFont="1" applyFill="1" applyBorder="1" applyAlignment="1">
      <alignment vertical="center"/>
    </xf>
    <xf numFmtId="0" fontId="24" fillId="0" borderId="15" xfId="0" applyFont="1" applyFill="1" applyBorder="1" applyAlignment="1">
      <alignment vertical="center"/>
    </xf>
    <xf numFmtId="0" fontId="22" fillId="0" borderId="16" xfId="0" applyFont="1" applyFill="1" applyBorder="1" applyAlignment="1">
      <alignment vertical="center"/>
    </xf>
    <xf numFmtId="3" fontId="9" fillId="0" borderId="0" xfId="0" applyNumberFormat="1" applyFont="1" applyFill="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0" fontId="17" fillId="0" borderId="0" xfId="0" applyFont="1" applyFill="1" applyBorder="1" applyAlignment="1">
      <alignment horizontal="center" vertical="center"/>
    </xf>
    <xf numFmtId="3" fontId="15" fillId="0" borderId="0"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5" fillId="0" borderId="0" xfId="0" applyFont="1" applyFill="1" applyAlignment="1">
      <alignment horizontal="center" vertical="center"/>
    </xf>
    <xf numFmtId="0" fontId="6" fillId="0" borderId="0" xfId="0" applyFont="1" applyFill="1" applyAlignment="1">
      <alignment horizontal="center" vertical="center"/>
    </xf>
    <xf numFmtId="0" fontId="2" fillId="0" borderId="17" xfId="0" applyFont="1" applyFill="1" applyBorder="1" applyAlignment="1">
      <alignment horizontal="center" vertical="center"/>
    </xf>
    <xf numFmtId="0" fontId="6" fillId="0" borderId="0" xfId="0" applyFont="1" applyFill="1" applyAlignment="1">
      <alignment horizontal="right" vertic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wrapText="1"/>
    </xf>
    <xf numFmtId="0" fontId="6" fillId="0" borderId="0" xfId="0" applyFont="1" applyFill="1" applyAlignment="1">
      <alignment horizontal="right"/>
    </xf>
    <xf numFmtId="0" fontId="6" fillId="0" borderId="0" xfId="0" applyFont="1" applyFill="1" applyAlignment="1">
      <alignment horizontal="center"/>
    </xf>
    <xf numFmtId="0" fontId="1" fillId="0" borderId="0" xfId="0" applyFont="1" applyFill="1" applyAlignment="1">
      <alignment horizontal="center"/>
    </xf>
    <xf numFmtId="0" fontId="2" fillId="0" borderId="17"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4"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G28"/>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F10" sqref="F10"/>
    </sheetView>
  </sheetViews>
  <sheetFormatPr defaultColWidth="9.140625" defaultRowHeight="12.75"/>
  <cols>
    <col min="1" max="1" width="9.57421875" style="105" customWidth="1"/>
    <col min="2" max="2" width="47.7109375" style="105" customWidth="1"/>
    <col min="3" max="3" width="22.7109375" style="105" customWidth="1"/>
    <col min="4" max="4" width="19.00390625" style="105" customWidth="1"/>
    <col min="5" max="16384" width="9.140625" style="105" customWidth="1"/>
  </cols>
  <sheetData>
    <row r="1" spans="3:4" ht="20.25" customHeight="1">
      <c r="C1" s="143" t="s">
        <v>450</v>
      </c>
      <c r="D1" s="143"/>
    </row>
    <row r="2" spans="1:4" ht="24.75" customHeight="1">
      <c r="A2" s="145" t="s">
        <v>448</v>
      </c>
      <c r="B2" s="145"/>
      <c r="C2" s="145"/>
      <c r="D2" s="145"/>
    </row>
    <row r="3" spans="1:4" ht="20.25" customHeight="1">
      <c r="A3" s="144" t="s">
        <v>456</v>
      </c>
      <c r="B3" s="144"/>
      <c r="C3" s="144"/>
      <c r="D3" s="144"/>
    </row>
    <row r="4" spans="1:4" ht="20.25" customHeight="1">
      <c r="A4" s="146" t="s">
        <v>479</v>
      </c>
      <c r="B4" s="146"/>
      <c r="C4" s="146"/>
      <c r="D4" s="146"/>
    </row>
    <row r="5" spans="1:4" ht="28.5" customHeight="1">
      <c r="A5" s="106"/>
      <c r="B5" s="106"/>
      <c r="C5" s="148" t="s">
        <v>444</v>
      </c>
      <c r="D5" s="148"/>
    </row>
    <row r="6" spans="1:4" ht="27" customHeight="1">
      <c r="A6" s="149" t="s">
        <v>46</v>
      </c>
      <c r="B6" s="149" t="s">
        <v>180</v>
      </c>
      <c r="C6" s="150" t="s">
        <v>468</v>
      </c>
      <c r="D6" s="149" t="s">
        <v>72</v>
      </c>
    </row>
    <row r="7" spans="1:7" ht="19.5" customHeight="1">
      <c r="A7" s="149"/>
      <c r="B7" s="149"/>
      <c r="C7" s="151"/>
      <c r="D7" s="149"/>
      <c r="E7" s="107"/>
      <c r="F7" s="107"/>
      <c r="G7" s="107"/>
    </row>
    <row r="8" spans="1:7" ht="23.25" customHeight="1">
      <c r="A8" s="113"/>
      <c r="B8" s="114" t="s">
        <v>140</v>
      </c>
      <c r="C8" s="115">
        <v>687590000</v>
      </c>
      <c r="D8" s="115"/>
      <c r="E8" s="107"/>
      <c r="F8" s="107"/>
      <c r="G8" s="107"/>
    </row>
    <row r="9" spans="1:7" ht="24" customHeight="1">
      <c r="A9" s="116"/>
      <c r="B9" s="117" t="s">
        <v>141</v>
      </c>
      <c r="C9" s="118">
        <v>679265000</v>
      </c>
      <c r="D9" s="118"/>
      <c r="E9" s="107"/>
      <c r="F9" s="107"/>
      <c r="G9" s="107"/>
    </row>
    <row r="10" spans="1:7" ht="24.75" customHeight="1">
      <c r="A10" s="116" t="s">
        <v>3</v>
      </c>
      <c r="B10" s="119" t="s">
        <v>142</v>
      </c>
      <c r="C10" s="120">
        <v>72000000</v>
      </c>
      <c r="D10" s="120"/>
      <c r="E10" s="107"/>
      <c r="F10" s="107"/>
      <c r="G10" s="107"/>
    </row>
    <row r="11" spans="1:7" ht="27" customHeight="1">
      <c r="A11" s="121"/>
      <c r="B11" s="122" t="s">
        <v>210</v>
      </c>
      <c r="C11" s="123">
        <v>63675000</v>
      </c>
      <c r="D11" s="123"/>
      <c r="E11" s="107"/>
      <c r="F11" s="107"/>
      <c r="G11" s="107"/>
    </row>
    <row r="12" spans="1:7" ht="27" customHeight="1">
      <c r="A12" s="121">
        <v>1</v>
      </c>
      <c r="B12" s="122" t="s">
        <v>143</v>
      </c>
      <c r="C12" s="123">
        <v>100000</v>
      </c>
      <c r="D12" s="123"/>
      <c r="E12" s="107"/>
      <c r="F12" s="107"/>
      <c r="G12" s="107"/>
    </row>
    <row r="13" spans="1:7" ht="24" customHeight="1">
      <c r="A13" s="121">
        <v>2</v>
      </c>
      <c r="B13" s="122" t="s">
        <v>144</v>
      </c>
      <c r="C13" s="123">
        <v>11500000</v>
      </c>
      <c r="D13" s="124"/>
      <c r="E13" s="107"/>
      <c r="F13" s="107"/>
      <c r="G13" s="107"/>
    </row>
    <row r="14" spans="1:7" ht="22.5" customHeight="1">
      <c r="A14" s="121">
        <v>3</v>
      </c>
      <c r="B14" s="122" t="s">
        <v>145</v>
      </c>
      <c r="C14" s="123">
        <v>4000000</v>
      </c>
      <c r="D14" s="123"/>
      <c r="E14" s="107"/>
      <c r="F14" s="107"/>
      <c r="G14" s="107"/>
    </row>
    <row r="15" spans="1:7" ht="22.5" customHeight="1">
      <c r="A15" s="121">
        <v>4</v>
      </c>
      <c r="B15" s="122" t="s">
        <v>146</v>
      </c>
      <c r="C15" s="123">
        <v>80000</v>
      </c>
      <c r="D15" s="123"/>
      <c r="E15" s="107"/>
      <c r="F15" s="107"/>
      <c r="G15" s="107"/>
    </row>
    <row r="16" spans="1:4" ht="25.5" customHeight="1">
      <c r="A16" s="121">
        <v>5</v>
      </c>
      <c r="B16" s="122" t="s">
        <v>147</v>
      </c>
      <c r="C16" s="123">
        <v>28300000</v>
      </c>
      <c r="D16" s="123"/>
    </row>
    <row r="17" spans="1:4" ht="23.25" customHeight="1">
      <c r="A17" s="121">
        <v>6</v>
      </c>
      <c r="B17" s="122" t="s">
        <v>148</v>
      </c>
      <c r="C17" s="123">
        <v>2300000</v>
      </c>
      <c r="D17" s="123"/>
    </row>
    <row r="18" spans="1:4" ht="24.75" customHeight="1">
      <c r="A18" s="121">
        <v>7</v>
      </c>
      <c r="B18" s="122" t="s">
        <v>149</v>
      </c>
      <c r="C18" s="123">
        <v>17000000</v>
      </c>
      <c r="D18" s="123"/>
    </row>
    <row r="19" spans="1:4" ht="22.5" customHeight="1">
      <c r="A19" s="121">
        <v>8</v>
      </c>
      <c r="B19" s="122" t="s">
        <v>150</v>
      </c>
      <c r="C19" s="123">
        <v>520000</v>
      </c>
      <c r="D19" s="123"/>
    </row>
    <row r="20" spans="1:4" ht="22.5" customHeight="1">
      <c r="A20" s="121">
        <v>9</v>
      </c>
      <c r="B20" s="122" t="s">
        <v>288</v>
      </c>
      <c r="C20" s="123">
        <v>2700000</v>
      </c>
      <c r="D20" s="123"/>
    </row>
    <row r="21" spans="1:4" ht="22.5" customHeight="1">
      <c r="A21" s="121">
        <v>10</v>
      </c>
      <c r="B21" s="122" t="s">
        <v>151</v>
      </c>
      <c r="C21" s="123">
        <v>3500000</v>
      </c>
      <c r="D21" s="123"/>
    </row>
    <row r="22" spans="1:4" ht="25.5" customHeight="1">
      <c r="A22" s="121">
        <v>11</v>
      </c>
      <c r="B22" s="122" t="s">
        <v>152</v>
      </c>
      <c r="C22" s="123">
        <v>2000000</v>
      </c>
      <c r="D22" s="123"/>
    </row>
    <row r="23" spans="1:4" s="108" customFormat="1" ht="23.25" customHeight="1">
      <c r="A23" s="116" t="s">
        <v>4</v>
      </c>
      <c r="B23" s="117" t="s">
        <v>153</v>
      </c>
      <c r="C23" s="118">
        <v>615590000</v>
      </c>
      <c r="D23" s="118"/>
    </row>
    <row r="24" spans="1:4" ht="24.75" customHeight="1">
      <c r="A24" s="121">
        <v>1</v>
      </c>
      <c r="B24" s="122" t="s">
        <v>154</v>
      </c>
      <c r="C24" s="123">
        <v>502937000</v>
      </c>
      <c r="D24" s="123"/>
    </row>
    <row r="25" spans="1:4" ht="18.75" customHeight="1">
      <c r="A25" s="98">
        <v>2</v>
      </c>
      <c r="B25" s="99" t="s">
        <v>155</v>
      </c>
      <c r="C25" s="100">
        <v>112653000</v>
      </c>
      <c r="D25" s="100"/>
    </row>
    <row r="26" spans="1:4" ht="16.5">
      <c r="A26" s="109"/>
      <c r="B26" s="109"/>
      <c r="C26" s="110"/>
      <c r="D26" s="110"/>
    </row>
    <row r="27" spans="1:4" ht="20.25" customHeight="1">
      <c r="A27" s="111"/>
      <c r="B27" s="111"/>
      <c r="C27" s="147" t="s">
        <v>482</v>
      </c>
      <c r="D27" s="147"/>
    </row>
    <row r="28" spans="1:4" ht="16.5">
      <c r="A28" s="111"/>
      <c r="B28" s="111"/>
      <c r="C28" s="112"/>
      <c r="D28" s="112"/>
    </row>
  </sheetData>
  <sheetProtection/>
  <mergeCells count="10">
    <mergeCell ref="C1:D1"/>
    <mergeCell ref="A3:D3"/>
    <mergeCell ref="A2:D2"/>
    <mergeCell ref="A4:D4"/>
    <mergeCell ref="C27:D27"/>
    <mergeCell ref="C5:D5"/>
    <mergeCell ref="A6:A7"/>
    <mergeCell ref="B6:B7"/>
    <mergeCell ref="D6:D7"/>
    <mergeCell ref="C6:C7"/>
  </mergeCells>
  <printOptions horizontalCentered="1"/>
  <pageMargins left="0.25" right="0.25" top="0.6" bottom="0.4" header="0.5"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D88"/>
  <sheetViews>
    <sheetView tabSelected="1" zoomScale="130" zoomScaleNormal="130" zoomScalePageLayoutView="0" workbookViewId="0" topLeftCell="A1">
      <pane xSplit="1" ySplit="5" topLeftCell="B30" activePane="bottomRight" state="frozen"/>
      <selection pane="topLeft" activeCell="A1" sqref="A1"/>
      <selection pane="topRight" activeCell="B1" sqref="B1"/>
      <selection pane="bottomLeft" activeCell="A5" sqref="A5"/>
      <selection pane="bottomRight" activeCell="E40" sqref="E40"/>
    </sheetView>
  </sheetViews>
  <sheetFormatPr defaultColWidth="8.7109375" defaultRowHeight="12.75"/>
  <cols>
    <col min="1" max="1" width="5.7109375" style="94" customWidth="1"/>
    <col min="2" max="2" width="65.7109375" style="95" customWidth="1"/>
    <col min="3" max="3" width="14.57421875" style="95" customWidth="1"/>
    <col min="4" max="4" width="11.140625" style="95" customWidth="1"/>
    <col min="5" max="16384" width="8.7109375" style="95" customWidth="1"/>
  </cols>
  <sheetData>
    <row r="1" spans="3:4" ht="13.5">
      <c r="C1" s="152" t="s">
        <v>449</v>
      </c>
      <c r="D1" s="152"/>
    </row>
    <row r="2" spans="1:4" ht="20.25" customHeight="1">
      <c r="A2" s="153" t="s">
        <v>459</v>
      </c>
      <c r="B2" s="153"/>
      <c r="C2" s="153"/>
      <c r="D2" s="153"/>
    </row>
    <row r="3" spans="1:4" ht="16.5">
      <c r="A3" s="146" t="s">
        <v>480</v>
      </c>
      <c r="B3" s="146"/>
      <c r="C3" s="146"/>
      <c r="D3" s="146"/>
    </row>
    <row r="4" spans="1:4" ht="18.75" customHeight="1">
      <c r="A4" s="154" t="s">
        <v>483</v>
      </c>
      <c r="B4" s="154"/>
      <c r="C4" s="154"/>
      <c r="D4" s="154"/>
    </row>
    <row r="5" spans="1:4" ht="31.5" customHeight="1">
      <c r="A5" s="12" t="s">
        <v>46</v>
      </c>
      <c r="B5" s="12" t="s">
        <v>47</v>
      </c>
      <c r="C5" s="11" t="s">
        <v>469</v>
      </c>
      <c r="D5" s="11" t="s">
        <v>72</v>
      </c>
    </row>
    <row r="6" spans="1:4" ht="18" customHeight="1">
      <c r="A6" s="114"/>
      <c r="B6" s="113" t="s">
        <v>0</v>
      </c>
      <c r="C6" s="115">
        <v>679264999.694531</v>
      </c>
      <c r="D6" s="125"/>
    </row>
    <row r="7" spans="1:4" ht="18" customHeight="1">
      <c r="A7" s="116" t="s">
        <v>1</v>
      </c>
      <c r="B7" s="117" t="s">
        <v>2</v>
      </c>
      <c r="C7" s="118">
        <v>544382999.694531</v>
      </c>
      <c r="D7" s="126"/>
    </row>
    <row r="8" spans="1:4" ht="18" customHeight="1">
      <c r="A8" s="116" t="s">
        <v>3</v>
      </c>
      <c r="B8" s="117" t="s">
        <v>445</v>
      </c>
      <c r="C8" s="118">
        <v>14306000</v>
      </c>
      <c r="D8" s="127"/>
    </row>
    <row r="9" spans="1:4" ht="31.5">
      <c r="A9" s="128">
        <v>1</v>
      </c>
      <c r="B9" s="61" t="s">
        <v>464</v>
      </c>
      <c r="C9" s="123">
        <v>4456000</v>
      </c>
      <c r="D9" s="127"/>
    </row>
    <row r="10" spans="1:4" ht="31.5">
      <c r="A10" s="128">
        <v>2</v>
      </c>
      <c r="B10" s="61" t="s">
        <v>463</v>
      </c>
      <c r="C10" s="123">
        <v>2100000</v>
      </c>
      <c r="D10" s="126"/>
    </row>
    <row r="11" spans="1:4" ht="31.5">
      <c r="A11" s="128">
        <v>3</v>
      </c>
      <c r="B11" s="61" t="s">
        <v>442</v>
      </c>
      <c r="C11" s="123">
        <v>1000000</v>
      </c>
      <c r="D11" s="126"/>
    </row>
    <row r="12" spans="1:4" ht="15.75">
      <c r="A12" s="128">
        <v>4</v>
      </c>
      <c r="B12" s="61" t="s">
        <v>475</v>
      </c>
      <c r="C12" s="123">
        <v>1000000</v>
      </c>
      <c r="D12" s="126"/>
    </row>
    <row r="13" spans="1:4" ht="31.5">
      <c r="A13" s="128">
        <v>5</v>
      </c>
      <c r="B13" s="61" t="s">
        <v>476</v>
      </c>
      <c r="C13" s="123">
        <v>1000000</v>
      </c>
      <c r="D13" s="126"/>
    </row>
    <row r="14" spans="1:4" ht="31.5">
      <c r="A14" s="128">
        <v>6</v>
      </c>
      <c r="B14" s="61" t="s">
        <v>481</v>
      </c>
      <c r="C14" s="123">
        <v>4000000</v>
      </c>
      <c r="D14" s="126"/>
    </row>
    <row r="15" spans="1:4" ht="15.75">
      <c r="A15" s="128">
        <v>7</v>
      </c>
      <c r="B15" s="122" t="s">
        <v>473</v>
      </c>
      <c r="C15" s="123">
        <v>300000</v>
      </c>
      <c r="D15" s="126"/>
    </row>
    <row r="16" spans="1:4" ht="15.75">
      <c r="A16" s="128">
        <v>8</v>
      </c>
      <c r="B16" s="122" t="s">
        <v>472</v>
      </c>
      <c r="C16" s="123">
        <v>200000</v>
      </c>
      <c r="D16" s="126"/>
    </row>
    <row r="17" spans="1:4" ht="18" customHeight="1">
      <c r="A17" s="128">
        <v>9</v>
      </c>
      <c r="B17" s="122" t="s">
        <v>297</v>
      </c>
      <c r="C17" s="123">
        <v>250000</v>
      </c>
      <c r="D17" s="126"/>
    </row>
    <row r="18" spans="1:4" ht="18" customHeight="1">
      <c r="A18" s="116" t="s">
        <v>4</v>
      </c>
      <c r="B18" s="117" t="s">
        <v>5</v>
      </c>
      <c r="C18" s="118">
        <v>521034999.6945309</v>
      </c>
      <c r="D18" s="118"/>
    </row>
    <row r="19" spans="1:4" ht="18" customHeight="1">
      <c r="A19" s="116">
        <v>1</v>
      </c>
      <c r="B19" s="117" t="s">
        <v>6</v>
      </c>
      <c r="C19" s="118">
        <v>19516433.06048193</v>
      </c>
      <c r="D19" s="126"/>
    </row>
    <row r="20" spans="1:4" ht="18" customHeight="1">
      <c r="A20" s="121" t="s">
        <v>7</v>
      </c>
      <c r="B20" s="122" t="s">
        <v>184</v>
      </c>
      <c r="C20" s="123">
        <v>16313000</v>
      </c>
      <c r="D20" s="126"/>
    </row>
    <row r="21" spans="1:4" ht="18" customHeight="1">
      <c r="A21" s="129" t="s">
        <v>191</v>
      </c>
      <c r="B21" s="130" t="s">
        <v>192</v>
      </c>
      <c r="C21" s="123">
        <v>200000</v>
      </c>
      <c r="D21" s="126"/>
    </row>
    <row r="22" spans="1:4" ht="18" customHeight="1">
      <c r="A22" s="121" t="s">
        <v>8</v>
      </c>
      <c r="B22" s="122" t="s">
        <v>10</v>
      </c>
      <c r="C22" s="123">
        <v>100000</v>
      </c>
      <c r="D22" s="126"/>
    </row>
    <row r="23" spans="1:4" ht="18" customHeight="1">
      <c r="A23" s="121" t="s">
        <v>9</v>
      </c>
      <c r="B23" s="122" t="s">
        <v>12</v>
      </c>
      <c r="C23" s="123">
        <v>200000</v>
      </c>
      <c r="D23" s="126"/>
    </row>
    <row r="24" spans="1:4" ht="18" customHeight="1">
      <c r="A24" s="121" t="s">
        <v>11</v>
      </c>
      <c r="B24" s="130" t="s">
        <v>202</v>
      </c>
      <c r="C24" s="123">
        <v>717831.34</v>
      </c>
      <c r="D24" s="126"/>
    </row>
    <row r="25" spans="1:4" ht="18" customHeight="1">
      <c r="A25" s="121" t="s">
        <v>218</v>
      </c>
      <c r="B25" s="122" t="s">
        <v>354</v>
      </c>
      <c r="C25" s="123">
        <v>400000</v>
      </c>
      <c r="D25" s="131"/>
    </row>
    <row r="26" spans="1:4" ht="18" customHeight="1">
      <c r="A26" s="121" t="s">
        <v>219</v>
      </c>
      <c r="B26" s="130" t="s">
        <v>25</v>
      </c>
      <c r="C26" s="134">
        <v>1585601.7204819275</v>
      </c>
      <c r="D26" s="126"/>
    </row>
    <row r="27" spans="1:4" s="97" customFormat="1" ht="18" customHeight="1">
      <c r="A27" s="116">
        <v>2</v>
      </c>
      <c r="B27" s="117" t="s">
        <v>477</v>
      </c>
      <c r="C27" s="118">
        <v>2500000</v>
      </c>
      <c r="D27" s="141"/>
    </row>
    <row r="28" spans="1:4" s="97" customFormat="1" ht="18" customHeight="1">
      <c r="A28" s="116">
        <v>3</v>
      </c>
      <c r="B28" s="137" t="s">
        <v>194</v>
      </c>
      <c r="C28" s="138">
        <v>296409000</v>
      </c>
      <c r="D28" s="118"/>
    </row>
    <row r="29" spans="1:4" s="97" customFormat="1" ht="18" customHeight="1">
      <c r="A29" s="116">
        <v>4</v>
      </c>
      <c r="B29" s="117" t="s">
        <v>228</v>
      </c>
      <c r="C29" s="118">
        <v>3959581.61</v>
      </c>
      <c r="D29" s="118"/>
    </row>
    <row r="30" spans="1:4" ht="18" customHeight="1">
      <c r="A30" s="121" t="s">
        <v>229</v>
      </c>
      <c r="B30" s="122" t="s">
        <v>195</v>
      </c>
      <c r="C30" s="123">
        <v>2088254</v>
      </c>
      <c r="D30" s="123"/>
    </row>
    <row r="31" spans="1:4" ht="18" customHeight="1">
      <c r="A31" s="121" t="s">
        <v>230</v>
      </c>
      <c r="B31" s="122" t="s">
        <v>452</v>
      </c>
      <c r="C31" s="123">
        <v>1171327.6099999999</v>
      </c>
      <c r="D31" s="126"/>
    </row>
    <row r="32" spans="1:4" ht="18" customHeight="1">
      <c r="A32" s="121" t="s">
        <v>454</v>
      </c>
      <c r="B32" s="122" t="s">
        <v>461</v>
      </c>
      <c r="C32" s="123">
        <v>700000</v>
      </c>
      <c r="D32" s="126"/>
    </row>
    <row r="33" spans="1:4" ht="18" customHeight="1">
      <c r="A33" s="116">
        <v>5</v>
      </c>
      <c r="B33" s="117" t="s">
        <v>434</v>
      </c>
      <c r="C33" s="118">
        <v>5349969.491566265</v>
      </c>
      <c r="D33" s="126"/>
    </row>
    <row r="34" spans="1:4" ht="18" customHeight="1">
      <c r="A34" s="121" t="s">
        <v>231</v>
      </c>
      <c r="B34" s="122" t="s">
        <v>453</v>
      </c>
      <c r="C34" s="123">
        <v>3149969.491566265</v>
      </c>
      <c r="D34" s="126"/>
    </row>
    <row r="35" spans="1:4" ht="18" customHeight="1">
      <c r="A35" s="121" t="s">
        <v>232</v>
      </c>
      <c r="B35" s="122" t="s">
        <v>447</v>
      </c>
      <c r="C35" s="123">
        <v>2200000</v>
      </c>
      <c r="D35" s="126"/>
    </row>
    <row r="36" spans="1:4" ht="18" customHeight="1">
      <c r="A36" s="116">
        <v>6</v>
      </c>
      <c r="B36" s="117" t="s">
        <v>70</v>
      </c>
      <c r="C36" s="118">
        <v>35464105.5873494</v>
      </c>
      <c r="D36" s="118"/>
    </row>
    <row r="37" spans="1:4" ht="18" customHeight="1">
      <c r="A37" s="121" t="s">
        <v>211</v>
      </c>
      <c r="B37" s="122" t="s">
        <v>37</v>
      </c>
      <c r="C37" s="123">
        <v>100000</v>
      </c>
      <c r="D37" s="127"/>
    </row>
    <row r="38" spans="1:4" ht="18" customHeight="1">
      <c r="A38" s="121" t="s">
        <v>212</v>
      </c>
      <c r="B38" s="122" t="s">
        <v>443</v>
      </c>
      <c r="C38" s="123">
        <v>26592105.5873494</v>
      </c>
      <c r="D38" s="126"/>
    </row>
    <row r="39" spans="1:4" ht="18" customHeight="1">
      <c r="A39" s="121" t="s">
        <v>233</v>
      </c>
      <c r="B39" s="130" t="s">
        <v>474</v>
      </c>
      <c r="C39" s="123">
        <v>8772000</v>
      </c>
      <c r="D39" s="126"/>
    </row>
    <row r="40" spans="1:4" ht="18" customHeight="1">
      <c r="A40" s="116">
        <v>7</v>
      </c>
      <c r="B40" s="117" t="s">
        <v>14</v>
      </c>
      <c r="C40" s="118">
        <v>50481210.435</v>
      </c>
      <c r="D40" s="118"/>
    </row>
    <row r="41" spans="1:4" ht="18" customHeight="1">
      <c r="A41" s="121" t="s">
        <v>234</v>
      </c>
      <c r="B41" s="130" t="s">
        <v>460</v>
      </c>
      <c r="C41" s="134">
        <v>43145000</v>
      </c>
      <c r="D41" s="140"/>
    </row>
    <row r="42" spans="1:4" ht="15.75">
      <c r="A42" s="121" t="s">
        <v>235</v>
      </c>
      <c r="B42" s="122" t="s">
        <v>127</v>
      </c>
      <c r="C42" s="134">
        <v>400000</v>
      </c>
      <c r="D42" s="140"/>
    </row>
    <row r="43" spans="1:4" ht="15.75">
      <c r="A43" s="121" t="s">
        <v>236</v>
      </c>
      <c r="B43" s="122" t="s">
        <v>221</v>
      </c>
      <c r="C43" s="134">
        <v>3252000</v>
      </c>
      <c r="D43" s="140"/>
    </row>
    <row r="44" spans="1:4" ht="15.75">
      <c r="A44" s="121" t="s">
        <v>237</v>
      </c>
      <c r="B44" s="122" t="s">
        <v>446</v>
      </c>
      <c r="C44" s="134">
        <v>130000</v>
      </c>
      <c r="D44" s="140"/>
    </row>
    <row r="45" spans="1:4" ht="15.75">
      <c r="A45" s="121" t="s">
        <v>238</v>
      </c>
      <c r="B45" s="122" t="s">
        <v>439</v>
      </c>
      <c r="C45" s="134">
        <v>1830000</v>
      </c>
      <c r="D45" s="140"/>
    </row>
    <row r="46" spans="1:4" ht="15.75">
      <c r="A46" s="121" t="s">
        <v>239</v>
      </c>
      <c r="B46" s="61" t="s">
        <v>455</v>
      </c>
      <c r="C46" s="134">
        <v>500000</v>
      </c>
      <c r="D46" s="140"/>
    </row>
    <row r="47" spans="1:4" ht="17.25" customHeight="1">
      <c r="A47" s="121" t="s">
        <v>438</v>
      </c>
      <c r="B47" s="122" t="s">
        <v>18</v>
      </c>
      <c r="C47" s="123">
        <v>267753.5925</v>
      </c>
      <c r="D47" s="140"/>
    </row>
    <row r="48" spans="1:4" ht="17.25" customHeight="1">
      <c r="A48" s="121" t="s">
        <v>240</v>
      </c>
      <c r="B48" s="122" t="s">
        <v>45</v>
      </c>
      <c r="C48" s="134">
        <v>301931.8425</v>
      </c>
      <c r="D48" s="140"/>
    </row>
    <row r="49" spans="1:4" ht="17.25" customHeight="1">
      <c r="A49" s="121" t="s">
        <v>241</v>
      </c>
      <c r="B49" s="122" t="s">
        <v>19</v>
      </c>
      <c r="C49" s="134">
        <v>140575</v>
      </c>
      <c r="D49" s="140"/>
    </row>
    <row r="50" spans="1:4" ht="17.25" customHeight="1">
      <c r="A50" s="121" t="s">
        <v>242</v>
      </c>
      <c r="B50" s="122" t="s">
        <v>30</v>
      </c>
      <c r="C50" s="134">
        <v>118400</v>
      </c>
      <c r="D50" s="140"/>
    </row>
    <row r="51" spans="1:4" ht="17.25" customHeight="1">
      <c r="A51" s="121" t="s">
        <v>243</v>
      </c>
      <c r="B51" s="122" t="s">
        <v>57</v>
      </c>
      <c r="C51" s="134">
        <v>124400</v>
      </c>
      <c r="D51" s="140"/>
    </row>
    <row r="52" spans="1:4" ht="17.25" customHeight="1">
      <c r="A52" s="121" t="s">
        <v>244</v>
      </c>
      <c r="B52" s="122" t="s">
        <v>29</v>
      </c>
      <c r="C52" s="134">
        <v>100575</v>
      </c>
      <c r="D52" s="140"/>
    </row>
    <row r="53" spans="1:4" ht="17.25" customHeight="1">
      <c r="A53" s="121" t="s">
        <v>245</v>
      </c>
      <c r="B53" s="122" t="s">
        <v>31</v>
      </c>
      <c r="C53" s="134">
        <v>170575</v>
      </c>
      <c r="D53" s="140"/>
    </row>
    <row r="54" spans="1:4" ht="18" customHeight="1">
      <c r="A54" s="116">
        <v>8</v>
      </c>
      <c r="B54" s="117" t="s">
        <v>15</v>
      </c>
      <c r="C54" s="118">
        <v>38378549.51013333</v>
      </c>
      <c r="D54" s="126"/>
    </row>
    <row r="55" spans="1:4" ht="18" customHeight="1">
      <c r="A55" s="121" t="s">
        <v>92</v>
      </c>
      <c r="B55" s="122" t="s">
        <v>366</v>
      </c>
      <c r="C55" s="123">
        <v>16185477.0776</v>
      </c>
      <c r="D55" s="126"/>
    </row>
    <row r="56" spans="1:4" ht="15.75">
      <c r="A56" s="121" t="s">
        <v>465</v>
      </c>
      <c r="B56" s="130" t="s">
        <v>466</v>
      </c>
      <c r="C56" s="123">
        <v>356000</v>
      </c>
      <c r="D56" s="126"/>
    </row>
    <row r="57" spans="1:4" ht="18" customHeight="1">
      <c r="A57" s="121" t="s">
        <v>227</v>
      </c>
      <c r="B57" s="130" t="s">
        <v>322</v>
      </c>
      <c r="C57" s="123">
        <v>2950500</v>
      </c>
      <c r="D57" s="140"/>
    </row>
    <row r="58" spans="1:4" ht="18" customHeight="1">
      <c r="A58" s="121" t="s">
        <v>247</v>
      </c>
      <c r="B58" s="122" t="s">
        <v>16</v>
      </c>
      <c r="C58" s="123">
        <v>14011105.333333332</v>
      </c>
      <c r="D58" s="126"/>
    </row>
    <row r="59" spans="1:4" ht="18" customHeight="1">
      <c r="A59" s="121"/>
      <c r="B59" s="132" t="s">
        <v>75</v>
      </c>
      <c r="C59" s="123">
        <v>8847405.333333332</v>
      </c>
      <c r="D59" s="126"/>
    </row>
    <row r="60" spans="1:4" ht="18" customHeight="1">
      <c r="A60" s="135"/>
      <c r="B60" s="122" t="s">
        <v>77</v>
      </c>
      <c r="C60" s="123">
        <v>5163700</v>
      </c>
      <c r="D60" s="123"/>
    </row>
    <row r="61" spans="1:4" ht="17.25" customHeight="1">
      <c r="A61" s="121" t="s">
        <v>467</v>
      </c>
      <c r="B61" s="122" t="s">
        <v>17</v>
      </c>
      <c r="C61" s="123">
        <v>4875467.0992</v>
      </c>
      <c r="D61" s="126"/>
    </row>
    <row r="62" spans="1:4" s="96" customFormat="1" ht="17.25" customHeight="1">
      <c r="A62" s="121" t="s">
        <v>81</v>
      </c>
      <c r="B62" s="122" t="s">
        <v>44</v>
      </c>
      <c r="C62" s="123">
        <v>2000362.6671999998</v>
      </c>
      <c r="D62" s="136"/>
    </row>
    <row r="63" spans="1:4" s="96" customFormat="1" ht="15.75">
      <c r="A63" s="135"/>
      <c r="B63" s="139" t="s">
        <v>484</v>
      </c>
      <c r="C63" s="133">
        <v>488000</v>
      </c>
      <c r="D63" s="136"/>
    </row>
    <row r="64" spans="1:4" s="96" customFormat="1" ht="17.25" customHeight="1">
      <c r="A64" s="121" t="s">
        <v>82</v>
      </c>
      <c r="B64" s="122" t="s">
        <v>66</v>
      </c>
      <c r="C64" s="123">
        <v>689142.1200000001</v>
      </c>
      <c r="D64" s="136"/>
    </row>
    <row r="65" spans="1:4" s="96" customFormat="1" ht="17.25" customHeight="1">
      <c r="A65" s="121" t="s">
        <v>457</v>
      </c>
      <c r="B65" s="122" t="s">
        <v>65</v>
      </c>
      <c r="C65" s="123">
        <v>763248.9199999999</v>
      </c>
      <c r="D65" s="136"/>
    </row>
    <row r="66" spans="1:4" s="96" customFormat="1" ht="17.25" customHeight="1">
      <c r="A66" s="121" t="s">
        <v>458</v>
      </c>
      <c r="B66" s="122" t="s">
        <v>451</v>
      </c>
      <c r="C66" s="123">
        <v>883020.5120000001</v>
      </c>
      <c r="D66" s="136"/>
    </row>
    <row r="67" spans="1:4" s="96" customFormat="1" ht="17.25" customHeight="1">
      <c r="A67" s="121" t="s">
        <v>462</v>
      </c>
      <c r="B67" s="122" t="s">
        <v>67</v>
      </c>
      <c r="C67" s="123">
        <v>539692.8800000001</v>
      </c>
      <c r="D67" s="136"/>
    </row>
    <row r="68" spans="1:4" ht="17.25" customHeight="1">
      <c r="A68" s="116">
        <v>9</v>
      </c>
      <c r="B68" s="117" t="s">
        <v>49</v>
      </c>
      <c r="C68" s="118">
        <v>2426000</v>
      </c>
      <c r="D68" s="126"/>
    </row>
    <row r="69" spans="1:4" ht="17.25" customHeight="1">
      <c r="A69" s="116">
        <v>10</v>
      </c>
      <c r="B69" s="117" t="s">
        <v>40</v>
      </c>
      <c r="C69" s="118">
        <v>1101000</v>
      </c>
      <c r="D69" s="126"/>
    </row>
    <row r="70" spans="1:4" ht="17.25" customHeight="1">
      <c r="A70" s="116">
        <v>11</v>
      </c>
      <c r="B70" s="117" t="s">
        <v>20</v>
      </c>
      <c r="C70" s="118">
        <v>2100000</v>
      </c>
      <c r="D70" s="118"/>
    </row>
    <row r="71" spans="1:4" ht="17.25" customHeight="1">
      <c r="A71" s="116">
        <v>12</v>
      </c>
      <c r="B71" s="117" t="s">
        <v>21</v>
      </c>
      <c r="C71" s="118">
        <v>700000</v>
      </c>
      <c r="D71" s="126"/>
    </row>
    <row r="72" spans="1:4" ht="17.25" customHeight="1">
      <c r="A72" s="116">
        <v>13</v>
      </c>
      <c r="B72" s="117" t="s">
        <v>470</v>
      </c>
      <c r="C72" s="118">
        <v>2194150</v>
      </c>
      <c r="D72" s="126"/>
    </row>
    <row r="73" spans="1:4" ht="17.25" customHeight="1">
      <c r="A73" s="116">
        <v>14</v>
      </c>
      <c r="B73" s="117" t="s">
        <v>22</v>
      </c>
      <c r="C73" s="118">
        <v>3855000</v>
      </c>
      <c r="D73" s="126"/>
    </row>
    <row r="74" spans="1:4" s="97" customFormat="1" ht="15.75" customHeight="1">
      <c r="A74" s="116">
        <v>15</v>
      </c>
      <c r="B74" s="117" t="s">
        <v>441</v>
      </c>
      <c r="C74" s="118">
        <v>50000000</v>
      </c>
      <c r="D74" s="141"/>
    </row>
    <row r="75" spans="1:4" s="97" customFormat="1" ht="15.75" customHeight="1">
      <c r="A75" s="116">
        <v>16</v>
      </c>
      <c r="B75" s="117" t="s">
        <v>478</v>
      </c>
      <c r="C75" s="118">
        <v>600000</v>
      </c>
      <c r="D75" s="141"/>
    </row>
    <row r="76" spans="1:4" s="97" customFormat="1" ht="19.5" customHeight="1">
      <c r="A76" s="116">
        <v>17</v>
      </c>
      <c r="B76" s="117" t="s">
        <v>471</v>
      </c>
      <c r="C76" s="118">
        <v>5000000</v>
      </c>
      <c r="D76" s="141"/>
    </row>
    <row r="77" spans="1:4" ht="17.25" customHeight="1">
      <c r="A77" s="116">
        <v>18</v>
      </c>
      <c r="B77" s="117" t="s">
        <v>23</v>
      </c>
      <c r="C77" s="118">
        <v>1000000</v>
      </c>
      <c r="D77" s="126"/>
    </row>
    <row r="78" spans="1:4" ht="17.25" customHeight="1">
      <c r="A78" s="116" t="s">
        <v>26</v>
      </c>
      <c r="B78" s="117" t="s">
        <v>24</v>
      </c>
      <c r="C78" s="118">
        <v>9042000</v>
      </c>
      <c r="D78" s="126"/>
    </row>
    <row r="79" spans="1:4" ht="17.25" customHeight="1">
      <c r="A79" s="116" t="s">
        <v>38</v>
      </c>
      <c r="B79" s="117" t="s">
        <v>61</v>
      </c>
      <c r="C79" s="118">
        <v>134882000</v>
      </c>
      <c r="D79" s="126"/>
    </row>
    <row r="80" spans="1:4" ht="17.25" customHeight="1">
      <c r="A80" s="121">
        <v>1</v>
      </c>
      <c r="B80" s="122" t="s">
        <v>440</v>
      </c>
      <c r="C80" s="123">
        <v>112653000</v>
      </c>
      <c r="D80" s="126"/>
    </row>
    <row r="81" spans="1:4" ht="17.25" customHeight="1">
      <c r="A81" s="98">
        <v>2</v>
      </c>
      <c r="B81" s="99" t="s">
        <v>39</v>
      </c>
      <c r="C81" s="100">
        <v>22229000</v>
      </c>
      <c r="D81" s="142"/>
    </row>
    <row r="82" spans="1:3" ht="6" customHeight="1">
      <c r="A82" s="101"/>
      <c r="B82" s="102"/>
      <c r="C82" s="103"/>
    </row>
    <row r="83" spans="2:4" ht="15.75">
      <c r="B83" s="155" t="s">
        <v>482</v>
      </c>
      <c r="C83" s="155"/>
      <c r="D83" s="155"/>
    </row>
    <row r="88" ht="12.75">
      <c r="C88" s="104"/>
    </row>
  </sheetData>
  <sheetProtection/>
  <mergeCells count="5">
    <mergeCell ref="C1:D1"/>
    <mergeCell ref="A2:D2"/>
    <mergeCell ref="A3:D3"/>
    <mergeCell ref="A4:D4"/>
    <mergeCell ref="B83:D83"/>
  </mergeCells>
  <printOptions horizontalCentered="1"/>
  <pageMargins left="0" right="0" top="0.6" bottom="0.57" header="0.275590551181102" footer="0.31496062992126"/>
  <pageSetup horizontalDpi="600" verticalDpi="6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L336"/>
  <sheetViews>
    <sheetView zoomScale="130" zoomScaleNormal="130" zoomScalePageLayoutView="0" workbookViewId="0" topLeftCell="A1">
      <pane xSplit="2" ySplit="4" topLeftCell="C14" activePane="bottomRight" state="frozen"/>
      <selection pane="topLeft" activeCell="A1" sqref="A1"/>
      <selection pane="topRight" activeCell="C1" sqref="C1"/>
      <selection pane="bottomLeft" activeCell="A5" sqref="A5"/>
      <selection pane="bottomRight" activeCell="A11" sqref="A11:IV11"/>
    </sheetView>
  </sheetViews>
  <sheetFormatPr defaultColWidth="8.7109375" defaultRowHeight="12.75"/>
  <cols>
    <col min="1" max="1" width="5.7109375" style="10" customWidth="1"/>
    <col min="2" max="2" width="64.8515625" style="8" customWidth="1"/>
    <col min="3" max="3" width="0.13671875" style="8" customWidth="1"/>
    <col min="4" max="4" width="15.421875" style="8" customWidth="1"/>
    <col min="5" max="5" width="14.28125" style="8" customWidth="1"/>
    <col min="6" max="6" width="13.8515625" style="8" customWidth="1"/>
    <col min="7" max="7" width="12.8515625" style="8" bestFit="1" customWidth="1"/>
    <col min="8" max="16384" width="8.7109375" style="8" customWidth="1"/>
  </cols>
  <sheetData>
    <row r="1" spans="1:5" ht="20.25" customHeight="1">
      <c r="A1" s="160" t="s">
        <v>216</v>
      </c>
      <c r="B1" s="160"/>
      <c r="C1" s="160"/>
      <c r="D1" s="160"/>
      <c r="E1" s="160"/>
    </row>
    <row r="2" spans="1:5" ht="15.75">
      <c r="A2" s="161" t="s">
        <v>391</v>
      </c>
      <c r="B2" s="161"/>
      <c r="C2" s="161"/>
      <c r="D2" s="161"/>
      <c r="E2" s="161"/>
    </row>
    <row r="3" spans="1:5" ht="18.75" customHeight="1">
      <c r="A3" s="162" t="s">
        <v>73</v>
      </c>
      <c r="B3" s="162"/>
      <c r="C3" s="162"/>
      <c r="D3" s="162"/>
      <c r="E3" s="162"/>
    </row>
    <row r="4" spans="1:5" ht="31.5" customHeight="1">
      <c r="A4" s="12" t="s">
        <v>46</v>
      </c>
      <c r="B4" s="12" t="s">
        <v>47</v>
      </c>
      <c r="C4" s="11" t="s">
        <v>98</v>
      </c>
      <c r="D4" s="11" t="s">
        <v>217</v>
      </c>
      <c r="E4" s="1" t="s">
        <v>72</v>
      </c>
    </row>
    <row r="5" spans="1:7" ht="18" customHeight="1">
      <c r="A5" s="24"/>
      <c r="B5" s="25" t="s">
        <v>0</v>
      </c>
      <c r="C5" s="26" t="e">
        <f>C6+C326</f>
        <v>#REF!</v>
      </c>
      <c r="D5" s="26">
        <f>D6+D326</f>
        <v>564572999.86</v>
      </c>
      <c r="E5" s="27"/>
      <c r="F5" s="20" t="e">
        <f>'DT thu 2022'!#REF!</f>
        <v>#REF!</v>
      </c>
      <c r="G5" s="9"/>
    </row>
    <row r="6" spans="1:7" ht="18" customHeight="1">
      <c r="A6" s="28" t="s">
        <v>1</v>
      </c>
      <c r="B6" s="29" t="s">
        <v>2</v>
      </c>
      <c r="C6" s="30" t="e">
        <f>C7+C11+C325</f>
        <v>#REF!</v>
      </c>
      <c r="D6" s="30">
        <f>D7+D11+D325</f>
        <v>436049999.86</v>
      </c>
      <c r="E6" s="31"/>
      <c r="F6" s="20"/>
      <c r="G6" s="9"/>
    </row>
    <row r="7" spans="1:6" ht="18" customHeight="1">
      <c r="A7" s="28" t="s">
        <v>3</v>
      </c>
      <c r="B7" s="29" t="s">
        <v>96</v>
      </c>
      <c r="C7" s="30">
        <f>SUM(C8:C8)</f>
        <v>500000</v>
      </c>
      <c r="D7" s="30">
        <f>SUM(D8:D10)</f>
        <v>10979000</v>
      </c>
      <c r="E7" s="32"/>
      <c r="F7" s="9"/>
    </row>
    <row r="8" spans="1:5" ht="31.5">
      <c r="A8" s="33">
        <v>1</v>
      </c>
      <c r="B8" s="34" t="s">
        <v>359</v>
      </c>
      <c r="C8" s="35">
        <v>500000</v>
      </c>
      <c r="D8" s="35">
        <f>10079000</f>
        <v>10079000</v>
      </c>
      <c r="E8" s="31"/>
    </row>
    <row r="9" spans="1:5" ht="31.5">
      <c r="A9" s="33">
        <v>2</v>
      </c>
      <c r="B9" s="34" t="s">
        <v>296</v>
      </c>
      <c r="C9" s="35"/>
      <c r="D9" s="35">
        <v>700000</v>
      </c>
      <c r="E9" s="31"/>
    </row>
    <row r="10" spans="1:5" ht="18" customHeight="1">
      <c r="A10" s="33">
        <v>3</v>
      </c>
      <c r="B10" s="36" t="s">
        <v>297</v>
      </c>
      <c r="C10" s="35"/>
      <c r="D10" s="35">
        <v>200000</v>
      </c>
      <c r="E10" s="31"/>
    </row>
    <row r="11" spans="1:5" ht="18" customHeight="1">
      <c r="A11" s="28" t="s">
        <v>4</v>
      </c>
      <c r="B11" s="29" t="s">
        <v>5</v>
      </c>
      <c r="C11" s="30" t="e">
        <f>C12+C28+C35+#REF!+#REF!+C59+C63+C73+C90+C123+#REF!+C263+C269+C273+C274+C275+C287+#REF!+#REF!+C324</f>
        <v>#REF!</v>
      </c>
      <c r="D11" s="30">
        <f>D12+D40+D42+D54+D63+D73+D90++D123+D263+D269+D273+D274+D275+D287+D324</f>
        <v>416935999.86</v>
      </c>
      <c r="E11" s="30"/>
    </row>
    <row r="12" spans="1:5" ht="18" customHeight="1">
      <c r="A12" s="28">
        <v>1</v>
      </c>
      <c r="B12" s="29" t="s">
        <v>6</v>
      </c>
      <c r="C12" s="30" t="e">
        <f>C13+#REF!+C20+C21+C40</f>
        <v>#REF!</v>
      </c>
      <c r="D12" s="30">
        <f>D13+D19+D20+D21+D22+D29+D30+D31+D32+D33+D34+D35</f>
        <v>31968346.86</v>
      </c>
      <c r="E12" s="31"/>
    </row>
    <row r="13" spans="1:5" ht="18" customHeight="1">
      <c r="A13" s="33" t="s">
        <v>7</v>
      </c>
      <c r="B13" s="36" t="s">
        <v>184</v>
      </c>
      <c r="C13" s="35">
        <f>SUM(C14:C18)</f>
        <v>16565000</v>
      </c>
      <c r="D13" s="35">
        <f>SUM(D14:D18)</f>
        <v>12672000</v>
      </c>
      <c r="E13" s="31"/>
    </row>
    <row r="14" spans="1:5" ht="18" customHeight="1">
      <c r="A14" s="37" t="s">
        <v>156</v>
      </c>
      <c r="B14" s="38" t="s">
        <v>185</v>
      </c>
      <c r="C14" s="39">
        <v>10000000</v>
      </c>
      <c r="D14" s="35">
        <v>500000</v>
      </c>
      <c r="E14" s="31"/>
    </row>
    <row r="15" spans="1:5" ht="18.75" customHeight="1">
      <c r="A15" s="37" t="s">
        <v>156</v>
      </c>
      <c r="B15" s="40" t="s">
        <v>360</v>
      </c>
      <c r="C15" s="39"/>
      <c r="D15" s="35">
        <v>4500000</v>
      </c>
      <c r="E15" s="31"/>
    </row>
    <row r="16" spans="1:5" ht="18" customHeight="1">
      <c r="A16" s="37" t="s">
        <v>62</v>
      </c>
      <c r="B16" s="41" t="s">
        <v>186</v>
      </c>
      <c r="C16" s="39"/>
      <c r="D16" s="35">
        <v>50000</v>
      </c>
      <c r="E16" s="31"/>
    </row>
    <row r="17" spans="1:5" ht="18" customHeight="1">
      <c r="A17" s="37" t="s">
        <v>156</v>
      </c>
      <c r="B17" s="38" t="s">
        <v>119</v>
      </c>
      <c r="C17" s="39">
        <v>3184000</v>
      </c>
      <c r="D17" s="35">
        <f>3117000+383000</f>
        <v>3500000</v>
      </c>
      <c r="E17" s="31"/>
    </row>
    <row r="18" spans="1:5" ht="18" customHeight="1">
      <c r="A18" s="37" t="s">
        <v>156</v>
      </c>
      <c r="B18" s="38" t="s">
        <v>120</v>
      </c>
      <c r="C18" s="39">
        <v>3381000</v>
      </c>
      <c r="D18" s="35">
        <v>4122000</v>
      </c>
      <c r="E18" s="31"/>
    </row>
    <row r="19" spans="1:5" ht="18" customHeight="1">
      <c r="A19" s="37" t="s">
        <v>191</v>
      </c>
      <c r="B19" s="38" t="s">
        <v>192</v>
      </c>
      <c r="C19" s="39"/>
      <c r="D19" s="35">
        <v>70000</v>
      </c>
      <c r="E19" s="31"/>
    </row>
    <row r="20" spans="1:5" ht="18" customHeight="1">
      <c r="A20" s="33" t="s">
        <v>8</v>
      </c>
      <c r="B20" s="36" t="s">
        <v>10</v>
      </c>
      <c r="C20" s="35">
        <v>50000</v>
      </c>
      <c r="D20" s="35">
        <v>50000</v>
      </c>
      <c r="E20" s="31"/>
    </row>
    <row r="21" spans="1:5" ht="18" customHeight="1">
      <c r="A21" s="33" t="s">
        <v>9</v>
      </c>
      <c r="B21" s="36" t="s">
        <v>12</v>
      </c>
      <c r="C21" s="35">
        <v>50000</v>
      </c>
      <c r="D21" s="35">
        <v>50000</v>
      </c>
      <c r="E21" s="31"/>
    </row>
    <row r="22" spans="1:5" ht="18" customHeight="1">
      <c r="A22" s="33" t="s">
        <v>11</v>
      </c>
      <c r="B22" s="38" t="s">
        <v>202</v>
      </c>
      <c r="C22" s="39"/>
      <c r="D22" s="35">
        <f>D23+D24+D25+D28</f>
        <v>630146.86</v>
      </c>
      <c r="E22" s="31"/>
    </row>
    <row r="23" spans="1:5" ht="18" customHeight="1">
      <c r="A23" s="37" t="s">
        <v>156</v>
      </c>
      <c r="B23" s="38" t="s">
        <v>204</v>
      </c>
      <c r="C23" s="39"/>
      <c r="D23" s="35">
        <f>4*1390*0.4*12</f>
        <v>26688</v>
      </c>
      <c r="E23" s="31"/>
    </row>
    <row r="24" spans="1:5" ht="18" customHeight="1">
      <c r="A24" s="37" t="s">
        <v>156</v>
      </c>
      <c r="B24" s="38" t="s">
        <v>205</v>
      </c>
      <c r="C24" s="39"/>
      <c r="D24" s="35">
        <f>30*100*12</f>
        <v>36000</v>
      </c>
      <c r="E24" s="42"/>
    </row>
    <row r="25" spans="1:5" ht="18" customHeight="1">
      <c r="A25" s="37" t="s">
        <v>156</v>
      </c>
      <c r="B25" s="38" t="s">
        <v>206</v>
      </c>
      <c r="C25" s="39"/>
      <c r="D25" s="35">
        <f>D26+D27</f>
        <v>167458.86</v>
      </c>
      <c r="E25" s="42"/>
    </row>
    <row r="26" spans="1:5" ht="18" customHeight="1">
      <c r="A26" s="43" t="s">
        <v>203</v>
      </c>
      <c r="B26" s="44" t="s">
        <v>207</v>
      </c>
      <c r="C26" s="45"/>
      <c r="D26" s="45">
        <f>13.52*1390*0.5*12</f>
        <v>112756.79999999999</v>
      </c>
      <c r="E26" s="42"/>
    </row>
    <row r="27" spans="1:5" ht="18" customHeight="1">
      <c r="A27" s="43" t="s">
        <v>203</v>
      </c>
      <c r="B27" s="44" t="s">
        <v>208</v>
      </c>
      <c r="C27" s="45"/>
      <c r="D27" s="45">
        <f>9.37*1390*0.35*12</f>
        <v>54702.05999999999</v>
      </c>
      <c r="E27" s="42"/>
    </row>
    <row r="28" spans="1:5" ht="15.75">
      <c r="A28" s="37" t="s">
        <v>156</v>
      </c>
      <c r="B28" s="38" t="s">
        <v>209</v>
      </c>
      <c r="C28" s="39"/>
      <c r="D28" s="35">
        <v>400000</v>
      </c>
      <c r="E28" s="42"/>
    </row>
    <row r="29" spans="1:5" ht="15.75">
      <c r="A29" s="33" t="s">
        <v>218</v>
      </c>
      <c r="B29" s="36" t="s">
        <v>303</v>
      </c>
      <c r="C29" s="35">
        <v>200000</v>
      </c>
      <c r="D29" s="35">
        <v>400000</v>
      </c>
      <c r="E29" s="42"/>
    </row>
    <row r="30" spans="1:5" ht="18" customHeight="1">
      <c r="A30" s="33" t="s">
        <v>219</v>
      </c>
      <c r="B30" s="36" t="s">
        <v>193</v>
      </c>
      <c r="C30" s="35"/>
      <c r="D30" s="35">
        <v>100000</v>
      </c>
      <c r="E30" s="42"/>
    </row>
    <row r="31" spans="1:5" ht="18" customHeight="1">
      <c r="A31" s="33" t="s">
        <v>220</v>
      </c>
      <c r="B31" s="36" t="s">
        <v>355</v>
      </c>
      <c r="C31" s="35"/>
      <c r="D31" s="35">
        <v>300000</v>
      </c>
      <c r="E31" s="42"/>
    </row>
    <row r="32" spans="1:5" ht="18" customHeight="1">
      <c r="A32" s="33" t="s">
        <v>224</v>
      </c>
      <c r="B32" s="36" t="s">
        <v>354</v>
      </c>
      <c r="C32" s="35"/>
      <c r="D32" s="35">
        <v>150000</v>
      </c>
      <c r="E32" s="42"/>
    </row>
    <row r="33" spans="1:5" ht="18" customHeight="1">
      <c r="A33" s="33" t="s">
        <v>225</v>
      </c>
      <c r="B33" s="36" t="s">
        <v>33</v>
      </c>
      <c r="C33" s="35">
        <v>150000</v>
      </c>
      <c r="D33" s="35">
        <v>150000</v>
      </c>
      <c r="E33" s="42"/>
    </row>
    <row r="34" spans="1:5" ht="18" customHeight="1">
      <c r="A34" s="33" t="s">
        <v>226</v>
      </c>
      <c r="B34" s="36" t="s">
        <v>121</v>
      </c>
      <c r="C34" s="35">
        <f>7000000+3000000</f>
        <v>10000000</v>
      </c>
      <c r="D34" s="35">
        <v>15800000</v>
      </c>
      <c r="E34" s="42"/>
    </row>
    <row r="35" spans="1:5" ht="18" customHeight="1">
      <c r="A35" s="33" t="s">
        <v>365</v>
      </c>
      <c r="B35" s="38" t="s">
        <v>25</v>
      </c>
      <c r="C35" s="39">
        <v>1806382</v>
      </c>
      <c r="D35" s="39">
        <f>SUM(D36:D39)</f>
        <v>1596200</v>
      </c>
      <c r="E35" s="31"/>
    </row>
    <row r="36" spans="1:5" s="18" customFormat="1" ht="18" customHeight="1">
      <c r="A36" s="46"/>
      <c r="B36" s="44" t="s">
        <v>163</v>
      </c>
      <c r="C36" s="48"/>
      <c r="D36" s="45">
        <v>1189000</v>
      </c>
      <c r="E36" s="47"/>
    </row>
    <row r="37" spans="1:5" s="18" customFormat="1" ht="18" customHeight="1">
      <c r="A37" s="46"/>
      <c r="B37" s="44" t="s">
        <v>201</v>
      </c>
      <c r="C37" s="48"/>
      <c r="D37" s="45">
        <v>178000</v>
      </c>
      <c r="E37" s="47"/>
    </row>
    <row r="38" spans="1:5" s="18" customFormat="1" ht="18" customHeight="1">
      <c r="A38" s="46"/>
      <c r="B38" s="44" t="s">
        <v>181</v>
      </c>
      <c r="C38" s="45">
        <v>79200</v>
      </c>
      <c r="D38" s="45">
        <v>79200</v>
      </c>
      <c r="E38" s="47"/>
    </row>
    <row r="39" spans="1:5" s="18" customFormat="1" ht="18" customHeight="1">
      <c r="A39" s="46"/>
      <c r="B39" s="81" t="s">
        <v>301</v>
      </c>
      <c r="C39" s="48"/>
      <c r="D39" s="45">
        <v>150000</v>
      </c>
      <c r="E39" s="47"/>
    </row>
    <row r="40" spans="1:5" s="6" customFormat="1" ht="18" customHeight="1">
      <c r="A40" s="28">
        <v>2</v>
      </c>
      <c r="B40" s="29" t="s">
        <v>13</v>
      </c>
      <c r="C40" s="30">
        <v>150000</v>
      </c>
      <c r="D40" s="30">
        <v>2100000</v>
      </c>
      <c r="E40" s="49"/>
    </row>
    <row r="41" spans="1:5" s="18" customFormat="1" ht="15.75">
      <c r="A41" s="46"/>
      <c r="B41" s="63" t="s">
        <v>302</v>
      </c>
      <c r="C41" s="45">
        <v>50000</v>
      </c>
      <c r="D41" s="45">
        <v>2000000</v>
      </c>
      <c r="E41" s="47"/>
    </row>
    <row r="42" spans="1:7" s="6" customFormat="1" ht="18" customHeight="1">
      <c r="A42" s="28">
        <v>3</v>
      </c>
      <c r="B42" s="50" t="s">
        <v>194</v>
      </c>
      <c r="C42" s="51">
        <f>SUM(C43:C53)</f>
        <v>259355000</v>
      </c>
      <c r="D42" s="51">
        <f>SUM(D43:D53)</f>
        <v>263953000</v>
      </c>
      <c r="E42" s="30"/>
      <c r="G42" s="14"/>
    </row>
    <row r="43" spans="1:7" ht="18" customHeight="1">
      <c r="A43" s="46"/>
      <c r="B43" s="38" t="s">
        <v>138</v>
      </c>
      <c r="C43" s="39">
        <v>184805000</v>
      </c>
      <c r="D43" s="39">
        <f>191748000+13866000-3186000</f>
        <v>202428000</v>
      </c>
      <c r="E43" s="45"/>
      <c r="F43" s="156" t="s">
        <v>162</v>
      </c>
      <c r="G43" s="157"/>
    </row>
    <row r="44" spans="1:12" ht="18" customHeight="1">
      <c r="A44" s="46"/>
      <c r="B44" s="38" t="s">
        <v>139</v>
      </c>
      <c r="C44" s="39">
        <f>31150000+1500000</f>
        <v>32650000</v>
      </c>
      <c r="D44" s="39">
        <f>31022000</f>
        <v>31022000</v>
      </c>
      <c r="E44" s="45"/>
      <c r="F44" s="158" t="s">
        <v>161</v>
      </c>
      <c r="G44" s="158"/>
      <c r="H44" s="158"/>
      <c r="I44" s="158"/>
      <c r="J44" s="158"/>
      <c r="K44" s="158"/>
      <c r="L44" s="158"/>
    </row>
    <row r="45" spans="1:5" ht="18" customHeight="1">
      <c r="A45" s="46"/>
      <c r="B45" s="38" t="s">
        <v>160</v>
      </c>
      <c r="C45" s="39"/>
      <c r="D45" s="39">
        <v>3315000</v>
      </c>
      <c r="E45" s="45"/>
    </row>
    <row r="46" spans="1:5" ht="18" customHeight="1">
      <c r="A46" s="46"/>
      <c r="B46" s="38" t="s">
        <v>387</v>
      </c>
      <c r="C46" s="39"/>
      <c r="D46" s="39">
        <v>350000</v>
      </c>
      <c r="E46" s="45"/>
    </row>
    <row r="47" spans="1:5" ht="18" customHeight="1">
      <c r="A47" s="46"/>
      <c r="B47" s="38" t="s">
        <v>122</v>
      </c>
      <c r="C47" s="39">
        <v>4532000</v>
      </c>
      <c r="D47" s="39">
        <f>2361000-827000</f>
        <v>1534000</v>
      </c>
      <c r="E47" s="45"/>
    </row>
    <row r="48" spans="1:5" ht="18" customHeight="1">
      <c r="A48" s="46"/>
      <c r="B48" s="38" t="s">
        <v>123</v>
      </c>
      <c r="C48" s="39">
        <v>456000</v>
      </c>
      <c r="D48" s="39">
        <f>881000+55000</f>
        <v>936000</v>
      </c>
      <c r="E48" s="45"/>
    </row>
    <row r="49" spans="1:5" ht="18" customHeight="1">
      <c r="A49" s="46"/>
      <c r="B49" s="38" t="s">
        <v>124</v>
      </c>
      <c r="C49" s="39">
        <v>5293000</v>
      </c>
      <c r="D49" s="39">
        <f>305000+446000</f>
        <v>751000</v>
      </c>
      <c r="E49" s="45"/>
    </row>
    <row r="50" spans="1:5" ht="18" customHeight="1">
      <c r="A50" s="46"/>
      <c r="B50" s="38" t="s">
        <v>159</v>
      </c>
      <c r="C50" s="39"/>
      <c r="D50" s="39">
        <v>804000</v>
      </c>
      <c r="E50" s="45"/>
    </row>
    <row r="51" spans="1:5" ht="18" customHeight="1">
      <c r="A51" s="46"/>
      <c r="B51" s="38" t="s">
        <v>289</v>
      </c>
      <c r="C51" s="39"/>
      <c r="D51" s="39">
        <v>370000</v>
      </c>
      <c r="E51" s="45"/>
    </row>
    <row r="52" spans="1:5" ht="18" customHeight="1">
      <c r="A52" s="46"/>
      <c r="B52" s="38" t="s">
        <v>125</v>
      </c>
      <c r="C52" s="39">
        <v>28619000</v>
      </c>
      <c r="D52" s="39">
        <v>443000</v>
      </c>
      <c r="E52" s="45"/>
    </row>
    <row r="53" spans="1:5" ht="18" customHeight="1">
      <c r="A53" s="46"/>
      <c r="B53" s="88" t="s">
        <v>437</v>
      </c>
      <c r="C53" s="89">
        <v>3000000</v>
      </c>
      <c r="D53" s="90">
        <f>10000000+12000000</f>
        <v>22000000</v>
      </c>
      <c r="E53" s="45"/>
    </row>
    <row r="54" spans="1:5" s="6" customFormat="1" ht="18" customHeight="1">
      <c r="A54" s="28">
        <v>4</v>
      </c>
      <c r="B54" s="29" t="s">
        <v>228</v>
      </c>
      <c r="C54" s="30"/>
      <c r="D54" s="30">
        <f>D55+D59</f>
        <v>3005000</v>
      </c>
      <c r="E54" s="30"/>
    </row>
    <row r="55" spans="1:5" ht="18" customHeight="1">
      <c r="A55" s="33" t="s">
        <v>229</v>
      </c>
      <c r="B55" s="36" t="s">
        <v>195</v>
      </c>
      <c r="C55" s="35">
        <f>SUM(C56:C58)</f>
        <v>2591885.6</v>
      </c>
      <c r="D55" s="35">
        <f>SUM(D56:D58)</f>
        <v>2323000</v>
      </c>
      <c r="E55" s="35"/>
    </row>
    <row r="56" spans="1:5" s="18" customFormat="1" ht="18" customHeight="1">
      <c r="A56" s="46" t="s">
        <v>89</v>
      </c>
      <c r="B56" s="52" t="s">
        <v>117</v>
      </c>
      <c r="C56" s="48">
        <v>1968238</v>
      </c>
      <c r="D56" s="45">
        <v>1744000</v>
      </c>
      <c r="E56" s="45"/>
    </row>
    <row r="57" spans="1:5" s="18" customFormat="1" ht="18" customHeight="1">
      <c r="A57" s="46" t="s">
        <v>89</v>
      </c>
      <c r="B57" s="52" t="s">
        <v>118</v>
      </c>
      <c r="C57" s="48">
        <f>C56/100*20</f>
        <v>393647.60000000003</v>
      </c>
      <c r="D57" s="45">
        <f>D56/100*20+200</f>
        <v>349000</v>
      </c>
      <c r="E57" s="45"/>
    </row>
    <row r="58" spans="1:5" s="18" customFormat="1" ht="18" customHeight="1">
      <c r="A58" s="46"/>
      <c r="B58" s="44" t="s">
        <v>307</v>
      </c>
      <c r="C58" s="45">
        <v>230000</v>
      </c>
      <c r="D58" s="45">
        <v>230000</v>
      </c>
      <c r="E58" s="53"/>
    </row>
    <row r="59" spans="1:5" ht="18" customHeight="1">
      <c r="A59" s="33" t="s">
        <v>230</v>
      </c>
      <c r="B59" s="36" t="s">
        <v>308</v>
      </c>
      <c r="C59" s="35">
        <f>SUM(C60:C61)</f>
        <v>584011.2</v>
      </c>
      <c r="D59" s="35">
        <f>SUM(D60:D62)</f>
        <v>682000</v>
      </c>
      <c r="E59" s="31"/>
    </row>
    <row r="60" spans="1:5" s="18" customFormat="1" ht="18" customHeight="1">
      <c r="A60" s="46"/>
      <c r="B60" s="52" t="s">
        <v>177</v>
      </c>
      <c r="C60" s="48">
        <v>486676</v>
      </c>
      <c r="D60" s="45">
        <v>527000</v>
      </c>
      <c r="E60" s="47"/>
    </row>
    <row r="61" spans="1:5" s="18" customFormat="1" ht="18" customHeight="1">
      <c r="A61" s="46"/>
      <c r="B61" s="52" t="s">
        <v>99</v>
      </c>
      <c r="C61" s="48">
        <f>C60/100*20</f>
        <v>97335.20000000001</v>
      </c>
      <c r="D61" s="45">
        <v>105000</v>
      </c>
      <c r="E61" s="47"/>
    </row>
    <row r="62" spans="1:5" s="18" customFormat="1" ht="18" customHeight="1">
      <c r="A62" s="46"/>
      <c r="B62" s="52" t="s">
        <v>416</v>
      </c>
      <c r="C62" s="48"/>
      <c r="D62" s="45">
        <v>50000</v>
      </c>
      <c r="E62" s="47"/>
    </row>
    <row r="63" spans="1:5" ht="18" customHeight="1">
      <c r="A63" s="28">
        <v>5</v>
      </c>
      <c r="B63" s="29" t="s">
        <v>434</v>
      </c>
      <c r="C63" s="30">
        <f>C64+C72</f>
        <v>1573963.2</v>
      </c>
      <c r="D63" s="30">
        <f>D64+D72</f>
        <v>2685000</v>
      </c>
      <c r="E63" s="31"/>
    </row>
    <row r="64" spans="1:6" ht="18" customHeight="1">
      <c r="A64" s="33" t="s">
        <v>231</v>
      </c>
      <c r="B64" s="36" t="s">
        <v>27</v>
      </c>
      <c r="C64" s="35">
        <f>SUM(C65:C71)</f>
        <v>1433963.2</v>
      </c>
      <c r="D64" s="35">
        <f>SUM(D65:D71)</f>
        <v>2625000</v>
      </c>
      <c r="E64" s="31"/>
      <c r="F64" s="9">
        <v>2545000</v>
      </c>
    </row>
    <row r="65" spans="1:5" s="18" customFormat="1" ht="18" customHeight="1">
      <c r="A65" s="46"/>
      <c r="B65" s="52" t="s">
        <v>164</v>
      </c>
      <c r="C65" s="48">
        <v>836636</v>
      </c>
      <c r="D65" s="45">
        <v>1566000</v>
      </c>
      <c r="E65" s="47"/>
    </row>
    <row r="66" spans="1:5" s="18" customFormat="1" ht="18" customHeight="1">
      <c r="A66" s="46"/>
      <c r="B66" s="52" t="s">
        <v>435</v>
      </c>
      <c r="C66" s="48">
        <f>C65/100*20</f>
        <v>167327.2</v>
      </c>
      <c r="D66" s="45">
        <v>279000</v>
      </c>
      <c r="E66" s="47"/>
    </row>
    <row r="67" spans="1:5" s="18" customFormat="1" ht="18" customHeight="1">
      <c r="A67" s="46"/>
      <c r="B67" s="44" t="s">
        <v>55</v>
      </c>
      <c r="C67" s="45">
        <v>100000</v>
      </c>
      <c r="D67" s="45">
        <v>250000</v>
      </c>
      <c r="E67" s="47"/>
    </row>
    <row r="68" spans="1:5" s="18" customFormat="1" ht="18" customHeight="1">
      <c r="A68" s="46"/>
      <c r="B68" s="44" t="s">
        <v>356</v>
      </c>
      <c r="C68" s="45">
        <v>50000</v>
      </c>
      <c r="D68" s="45">
        <v>70000</v>
      </c>
      <c r="E68" s="47"/>
    </row>
    <row r="69" spans="1:5" s="18" customFormat="1" ht="18" customHeight="1">
      <c r="A69" s="46"/>
      <c r="B69" s="44" t="s">
        <v>417</v>
      </c>
      <c r="C69" s="45"/>
      <c r="D69" s="45">
        <v>100000</v>
      </c>
      <c r="E69" s="47"/>
    </row>
    <row r="70" spans="1:5" s="18" customFormat="1" ht="18" customHeight="1">
      <c r="A70" s="46"/>
      <c r="B70" s="44" t="s">
        <v>436</v>
      </c>
      <c r="C70" s="45"/>
      <c r="D70" s="45">
        <v>80000</v>
      </c>
      <c r="E70" s="47"/>
    </row>
    <row r="71" spans="1:5" s="18" customFormat="1" ht="18" customHeight="1">
      <c r="A71" s="46"/>
      <c r="B71" s="44" t="s">
        <v>298</v>
      </c>
      <c r="C71" s="45">
        <v>280000</v>
      </c>
      <c r="D71" s="45">
        <v>280000</v>
      </c>
      <c r="E71" s="47"/>
    </row>
    <row r="72" spans="1:5" ht="18" customHeight="1">
      <c r="A72" s="33" t="s">
        <v>232</v>
      </c>
      <c r="B72" s="36" t="s">
        <v>41</v>
      </c>
      <c r="C72" s="35">
        <v>140000</v>
      </c>
      <c r="D72" s="35">
        <v>60000</v>
      </c>
      <c r="E72" s="31"/>
    </row>
    <row r="73" spans="1:5" ht="18" customHeight="1">
      <c r="A73" s="28">
        <v>6</v>
      </c>
      <c r="B73" s="29" t="s">
        <v>70</v>
      </c>
      <c r="C73" s="30">
        <f>C74+C76+C80</f>
        <v>17866352.400000002</v>
      </c>
      <c r="D73" s="30">
        <f>D74+D76+D80</f>
        <v>21941087</v>
      </c>
      <c r="E73" s="31"/>
    </row>
    <row r="74" spans="1:5" ht="18" customHeight="1">
      <c r="A74" s="33" t="s">
        <v>211</v>
      </c>
      <c r="B74" s="36" t="s">
        <v>37</v>
      </c>
      <c r="C74" s="35">
        <v>100000</v>
      </c>
      <c r="D74" s="35">
        <v>100000</v>
      </c>
      <c r="E74" s="31"/>
    </row>
    <row r="75" spans="1:5" s="18" customFormat="1" ht="18" customHeight="1">
      <c r="A75" s="46"/>
      <c r="B75" s="44" t="s">
        <v>299</v>
      </c>
      <c r="C75" s="45">
        <v>30000</v>
      </c>
      <c r="D75" s="45">
        <v>30000</v>
      </c>
      <c r="E75" s="47"/>
    </row>
    <row r="76" spans="1:5" ht="18" customHeight="1">
      <c r="A76" s="33" t="s">
        <v>212</v>
      </c>
      <c r="B76" s="36" t="s">
        <v>36</v>
      </c>
      <c r="C76" s="35">
        <f>SUM(C77:C79)</f>
        <v>571967.6</v>
      </c>
      <c r="D76" s="35">
        <f>SUM(D77:D79)</f>
        <v>575000</v>
      </c>
      <c r="E76" s="31"/>
    </row>
    <row r="77" spans="1:5" s="18" customFormat="1" ht="18" customHeight="1">
      <c r="A77" s="46"/>
      <c r="B77" s="52" t="s">
        <v>165</v>
      </c>
      <c r="C77" s="48">
        <v>434973</v>
      </c>
      <c r="D77" s="45">
        <v>396000</v>
      </c>
      <c r="E77" s="47"/>
    </row>
    <row r="78" spans="1:5" s="18" customFormat="1" ht="18" customHeight="1">
      <c r="A78" s="46"/>
      <c r="B78" s="52" t="s">
        <v>100</v>
      </c>
      <c r="C78" s="48">
        <f>C77/100*20</f>
        <v>86994.59999999999</v>
      </c>
      <c r="D78" s="45">
        <f>D77/100*20-200</f>
        <v>79000</v>
      </c>
      <c r="E78" s="47"/>
    </row>
    <row r="79" spans="1:5" s="18" customFormat="1" ht="18" customHeight="1">
      <c r="A79" s="46"/>
      <c r="B79" s="54" t="s">
        <v>79</v>
      </c>
      <c r="C79" s="45">
        <v>50000</v>
      </c>
      <c r="D79" s="45">
        <v>100000</v>
      </c>
      <c r="E79" s="47"/>
    </row>
    <row r="80" spans="1:5" ht="18" customHeight="1">
      <c r="A80" s="33" t="s">
        <v>233</v>
      </c>
      <c r="B80" s="55" t="s">
        <v>84</v>
      </c>
      <c r="C80" s="35">
        <f>C81+C85</f>
        <v>17194384.8</v>
      </c>
      <c r="D80" s="35">
        <f>D81+D85</f>
        <v>21266087</v>
      </c>
      <c r="E80" s="31"/>
    </row>
    <row r="81" spans="1:5" ht="18" customHeight="1">
      <c r="A81" s="33" t="s">
        <v>81</v>
      </c>
      <c r="B81" s="41" t="s">
        <v>101</v>
      </c>
      <c r="C81" s="39">
        <f>C82+C83</f>
        <v>4141384.8</v>
      </c>
      <c r="D81" s="39">
        <f>SUM(D82:D84)</f>
        <v>7381000</v>
      </c>
      <c r="E81" s="31"/>
    </row>
    <row r="82" spans="1:5" s="18" customFormat="1" ht="18" customHeight="1">
      <c r="A82" s="46"/>
      <c r="B82" s="56" t="s">
        <v>166</v>
      </c>
      <c r="C82" s="48">
        <v>3451154</v>
      </c>
      <c r="D82" s="45">
        <v>3276000</v>
      </c>
      <c r="E82" s="47"/>
    </row>
    <row r="83" spans="1:5" s="18" customFormat="1" ht="18" customHeight="1">
      <c r="A83" s="46"/>
      <c r="B83" s="56" t="s">
        <v>213</v>
      </c>
      <c r="C83" s="48">
        <f>C82/100*20</f>
        <v>690230.8</v>
      </c>
      <c r="D83" s="45">
        <f>D82/100*15+600</f>
        <v>492000</v>
      </c>
      <c r="E83" s="47"/>
    </row>
    <row r="84" spans="1:5" s="18" customFormat="1" ht="18" customHeight="1">
      <c r="A84" s="46"/>
      <c r="B84" s="56" t="s">
        <v>309</v>
      </c>
      <c r="C84" s="48"/>
      <c r="D84" s="35">
        <v>3613000</v>
      </c>
      <c r="E84" s="47"/>
    </row>
    <row r="85" spans="1:5" ht="18" customHeight="1">
      <c r="A85" s="33" t="s">
        <v>82</v>
      </c>
      <c r="B85" s="41" t="s">
        <v>102</v>
      </c>
      <c r="C85" s="39">
        <f>SUM(C86:C89)</f>
        <v>13053000</v>
      </c>
      <c r="D85" s="39">
        <f>SUM(D86:D89)</f>
        <v>13885087</v>
      </c>
      <c r="E85" s="31"/>
    </row>
    <row r="86" spans="1:5" s="18" customFormat="1" ht="18" customHeight="1">
      <c r="A86" s="46"/>
      <c r="B86" s="56" t="s">
        <v>87</v>
      </c>
      <c r="C86" s="48">
        <f>11861000</f>
        <v>11861000</v>
      </c>
      <c r="D86" s="45">
        <v>12693087</v>
      </c>
      <c r="E86" s="47"/>
    </row>
    <row r="87" spans="1:5" s="18" customFormat="1" ht="18" customHeight="1">
      <c r="A87" s="46"/>
      <c r="B87" s="56" t="s">
        <v>85</v>
      </c>
      <c r="C87" s="48">
        <v>226000</v>
      </c>
      <c r="D87" s="45">
        <v>226000</v>
      </c>
      <c r="E87" s="47"/>
    </row>
    <row r="88" spans="1:5" s="18" customFormat="1" ht="18" customHeight="1">
      <c r="A88" s="46"/>
      <c r="B88" s="56" t="s">
        <v>90</v>
      </c>
      <c r="C88" s="48">
        <v>73000</v>
      </c>
      <c r="D88" s="45">
        <v>73000</v>
      </c>
      <c r="E88" s="47"/>
    </row>
    <row r="89" spans="1:5" s="18" customFormat="1" ht="18" customHeight="1">
      <c r="A89" s="46"/>
      <c r="B89" s="56" t="s">
        <v>86</v>
      </c>
      <c r="C89" s="48">
        <v>893000</v>
      </c>
      <c r="D89" s="45">
        <v>893000</v>
      </c>
      <c r="E89" s="47"/>
    </row>
    <row r="90" spans="1:5" ht="18" customHeight="1">
      <c r="A90" s="28">
        <v>7</v>
      </c>
      <c r="B90" s="29" t="s">
        <v>14</v>
      </c>
      <c r="C90" s="30">
        <f>SUM(C91:C97)</f>
        <v>41536000</v>
      </c>
      <c r="D90" s="30">
        <f>D91+D92+D93+D94+D95+D96+D97+D98+D102+D106+D110+D113+D116+D120</f>
        <v>49497284</v>
      </c>
      <c r="E90" s="31"/>
    </row>
    <row r="91" spans="1:5" ht="18" customHeight="1">
      <c r="A91" s="33" t="s">
        <v>234</v>
      </c>
      <c r="B91" s="38" t="s">
        <v>34</v>
      </c>
      <c r="C91" s="39">
        <v>5825000</v>
      </c>
      <c r="D91" s="39">
        <f>7860000+392000</f>
        <v>8252000</v>
      </c>
      <c r="E91" s="57"/>
    </row>
    <row r="92" spans="1:5" ht="18" customHeight="1">
      <c r="A92" s="33" t="s">
        <v>235</v>
      </c>
      <c r="B92" s="38" t="s">
        <v>116</v>
      </c>
      <c r="C92" s="39">
        <v>2973000</v>
      </c>
      <c r="D92" s="39">
        <f>3086000+222000</f>
        <v>3308000</v>
      </c>
      <c r="E92" s="57"/>
    </row>
    <row r="93" spans="1:5" ht="18" customHeight="1">
      <c r="A93" s="33" t="s">
        <v>236</v>
      </c>
      <c r="B93" s="38" t="s">
        <v>157</v>
      </c>
      <c r="C93" s="39">
        <v>32398000</v>
      </c>
      <c r="D93" s="39">
        <f>33075000+222000+193000</f>
        <v>33490000</v>
      </c>
      <c r="E93" s="57"/>
    </row>
    <row r="94" spans="1:5" ht="15.75">
      <c r="A94" s="33" t="s">
        <v>237</v>
      </c>
      <c r="B94" s="36" t="s">
        <v>127</v>
      </c>
      <c r="C94" s="35">
        <v>140000</v>
      </c>
      <c r="D94" s="39">
        <v>250000</v>
      </c>
      <c r="E94" s="57"/>
    </row>
    <row r="95" spans="1:5" ht="15.75">
      <c r="A95" s="33" t="s">
        <v>238</v>
      </c>
      <c r="B95" s="36" t="s">
        <v>179</v>
      </c>
      <c r="C95" s="35"/>
      <c r="D95" s="39">
        <v>50000</v>
      </c>
      <c r="E95" s="57"/>
    </row>
    <row r="96" spans="1:5" s="93" customFormat="1" ht="15.75">
      <c r="A96" s="91" t="s">
        <v>239</v>
      </c>
      <c r="B96" s="88" t="s">
        <v>221</v>
      </c>
      <c r="C96" s="89"/>
      <c r="D96" s="90">
        <v>2961000</v>
      </c>
      <c r="E96" s="92"/>
    </row>
    <row r="97" spans="1:5" ht="30">
      <c r="A97" s="33" t="s">
        <v>240</v>
      </c>
      <c r="B97" s="58" t="s">
        <v>317</v>
      </c>
      <c r="C97" s="35">
        <v>200000</v>
      </c>
      <c r="D97" s="39">
        <v>250000</v>
      </c>
      <c r="E97" s="31"/>
    </row>
    <row r="98" spans="1:5" ht="17.25" customHeight="1">
      <c r="A98" s="33" t="s">
        <v>240</v>
      </c>
      <c r="B98" s="36" t="s">
        <v>18</v>
      </c>
      <c r="C98" s="35">
        <f>SUM(C99:C100)</f>
        <v>251262</v>
      </c>
      <c r="D98" s="35">
        <f>SUM(D99:D101)</f>
        <v>206000</v>
      </c>
      <c r="E98" s="31"/>
    </row>
    <row r="99" spans="1:5" s="18" customFormat="1" ht="17.25" customHeight="1">
      <c r="A99" s="46"/>
      <c r="B99" s="52" t="s">
        <v>170</v>
      </c>
      <c r="C99" s="48">
        <v>209385</v>
      </c>
      <c r="D99" s="45">
        <v>142000</v>
      </c>
      <c r="E99" s="47"/>
    </row>
    <row r="100" spans="1:5" s="18" customFormat="1" ht="17.25" customHeight="1">
      <c r="A100" s="46"/>
      <c r="B100" s="52" t="s">
        <v>106</v>
      </c>
      <c r="C100" s="48">
        <f>C99/100*20</f>
        <v>41877</v>
      </c>
      <c r="D100" s="45">
        <f>D99/100*20+600</f>
        <v>29000</v>
      </c>
      <c r="E100" s="47"/>
    </row>
    <row r="101" spans="1:5" s="18" customFormat="1" ht="30.75" customHeight="1">
      <c r="A101" s="46"/>
      <c r="B101" s="82" t="s">
        <v>292</v>
      </c>
      <c r="C101" s="48"/>
      <c r="D101" s="45">
        <v>35000</v>
      </c>
      <c r="E101" s="47"/>
    </row>
    <row r="102" spans="1:5" ht="17.25" customHeight="1">
      <c r="A102" s="33" t="s">
        <v>241</v>
      </c>
      <c r="B102" s="36" t="s">
        <v>45</v>
      </c>
      <c r="C102" s="35">
        <f>C103+C104+C105</f>
        <v>290351.6</v>
      </c>
      <c r="D102" s="39">
        <f>D103+D104+D105</f>
        <v>211109.2</v>
      </c>
      <c r="E102" s="31"/>
    </row>
    <row r="103" spans="1:5" s="18" customFormat="1" ht="17.25" customHeight="1">
      <c r="A103" s="46"/>
      <c r="B103" s="52" t="s">
        <v>168</v>
      </c>
      <c r="C103" s="48">
        <v>225293</v>
      </c>
      <c r="D103" s="48">
        <v>155091</v>
      </c>
      <c r="E103" s="47"/>
    </row>
    <row r="104" spans="1:5" s="18" customFormat="1" ht="17.25" customHeight="1">
      <c r="A104" s="46"/>
      <c r="B104" s="52" t="s">
        <v>100</v>
      </c>
      <c r="C104" s="48">
        <f>C103/100*20</f>
        <v>45058.6</v>
      </c>
      <c r="D104" s="48">
        <f>D103/100*20</f>
        <v>31018.2</v>
      </c>
      <c r="E104" s="47"/>
    </row>
    <row r="105" spans="1:5" s="18" customFormat="1" ht="17.25" customHeight="1">
      <c r="A105" s="46"/>
      <c r="B105" s="44" t="s">
        <v>110</v>
      </c>
      <c r="C105" s="45">
        <v>20000</v>
      </c>
      <c r="D105" s="48">
        <v>25000</v>
      </c>
      <c r="E105" s="47"/>
    </row>
    <row r="106" spans="1:5" ht="17.25" customHeight="1">
      <c r="A106" s="33" t="s">
        <v>242</v>
      </c>
      <c r="B106" s="36" t="s">
        <v>19</v>
      </c>
      <c r="C106" s="35">
        <f>SUM(C107:C109)</f>
        <v>69696</v>
      </c>
      <c r="D106" s="39">
        <f>SUM(D107:D109)</f>
        <v>138910.8</v>
      </c>
      <c r="E106" s="31"/>
    </row>
    <row r="107" spans="1:5" s="18" customFormat="1" ht="17.25" customHeight="1">
      <c r="A107" s="46"/>
      <c r="B107" s="59" t="s">
        <v>172</v>
      </c>
      <c r="C107" s="45"/>
      <c r="D107" s="48">
        <v>40699</v>
      </c>
      <c r="E107" s="47"/>
    </row>
    <row r="108" spans="1:5" s="18" customFormat="1" ht="17.25" customHeight="1">
      <c r="A108" s="46"/>
      <c r="B108" s="59" t="s">
        <v>173</v>
      </c>
      <c r="C108" s="45">
        <f>4*1210*12</f>
        <v>58080</v>
      </c>
      <c r="D108" s="48">
        <v>75060</v>
      </c>
      <c r="E108" s="47"/>
    </row>
    <row r="109" spans="1:5" s="18" customFormat="1" ht="17.25" customHeight="1">
      <c r="A109" s="46"/>
      <c r="B109" s="59" t="s">
        <v>107</v>
      </c>
      <c r="C109" s="45">
        <f>C108/100*20</f>
        <v>11616</v>
      </c>
      <c r="D109" s="48">
        <f>(D107+D108)/100*20</f>
        <v>23151.8</v>
      </c>
      <c r="E109" s="47"/>
    </row>
    <row r="110" spans="1:5" ht="17.25" customHeight="1">
      <c r="A110" s="33" t="s">
        <v>243</v>
      </c>
      <c r="B110" s="36" t="s">
        <v>30</v>
      </c>
      <c r="C110" s="35">
        <f>SUM(C111:C112)</f>
        <v>69696</v>
      </c>
      <c r="D110" s="39">
        <f>SUM(D111:D112)</f>
        <v>80064</v>
      </c>
      <c r="E110" s="31"/>
    </row>
    <row r="111" spans="1:5" s="18" customFormat="1" ht="17.25" customHeight="1">
      <c r="A111" s="46"/>
      <c r="B111" s="44" t="s">
        <v>56</v>
      </c>
      <c r="C111" s="45">
        <f>4*1210*12</f>
        <v>58080</v>
      </c>
      <c r="D111" s="48">
        <v>66720</v>
      </c>
      <c r="E111" s="47"/>
    </row>
    <row r="112" spans="1:5" s="18" customFormat="1" ht="17.25" customHeight="1">
      <c r="A112" s="46"/>
      <c r="B112" s="44" t="s">
        <v>209</v>
      </c>
      <c r="C112" s="45">
        <f>C111/100*20</f>
        <v>11616</v>
      </c>
      <c r="D112" s="48">
        <f>D111/100*20</f>
        <v>13344</v>
      </c>
      <c r="E112" s="47"/>
    </row>
    <row r="113" spans="1:5" ht="17.25" customHeight="1">
      <c r="A113" s="33" t="s">
        <v>244</v>
      </c>
      <c r="B113" s="36" t="s">
        <v>57</v>
      </c>
      <c r="C113" s="35">
        <f>SUM(C114:C115)</f>
        <v>69696</v>
      </c>
      <c r="D113" s="39">
        <f>SUM(D114:D115)</f>
        <v>80064</v>
      </c>
      <c r="E113" s="31"/>
    </row>
    <row r="114" spans="1:5" s="18" customFormat="1" ht="17.25" customHeight="1">
      <c r="A114" s="46"/>
      <c r="B114" s="44" t="s">
        <v>56</v>
      </c>
      <c r="C114" s="45">
        <f>4*1210*12</f>
        <v>58080</v>
      </c>
      <c r="D114" s="48">
        <v>66720</v>
      </c>
      <c r="E114" s="47"/>
    </row>
    <row r="115" spans="1:5" s="18" customFormat="1" ht="17.25" customHeight="1">
      <c r="A115" s="46"/>
      <c r="B115" s="44" t="s">
        <v>209</v>
      </c>
      <c r="C115" s="45">
        <f>C114/100*20</f>
        <v>11616</v>
      </c>
      <c r="D115" s="48">
        <f>D114/100*20</f>
        <v>13344</v>
      </c>
      <c r="E115" s="47"/>
    </row>
    <row r="116" spans="1:5" ht="17.25" customHeight="1">
      <c r="A116" s="33" t="s">
        <v>245</v>
      </c>
      <c r="B116" s="36" t="s">
        <v>29</v>
      </c>
      <c r="C116" s="35">
        <f>SUM(C117:C118)</f>
        <v>69696</v>
      </c>
      <c r="D116" s="39">
        <f>SUM(D117:D119)</f>
        <v>130064</v>
      </c>
      <c r="E116" s="31"/>
    </row>
    <row r="117" spans="1:5" s="18" customFormat="1" ht="17.25" customHeight="1">
      <c r="A117" s="46"/>
      <c r="B117" s="44" t="s">
        <v>56</v>
      </c>
      <c r="C117" s="45">
        <f>4*1210*12</f>
        <v>58080</v>
      </c>
      <c r="D117" s="48">
        <v>66720</v>
      </c>
      <c r="E117" s="47"/>
    </row>
    <row r="118" spans="1:5" s="18" customFormat="1" ht="17.25" customHeight="1">
      <c r="A118" s="46"/>
      <c r="B118" s="44" t="s">
        <v>209</v>
      </c>
      <c r="C118" s="45">
        <f>C117/100*20</f>
        <v>11616</v>
      </c>
      <c r="D118" s="48">
        <f>D117/100*20</f>
        <v>13344</v>
      </c>
      <c r="E118" s="47"/>
    </row>
    <row r="119" spans="1:5" s="18" customFormat="1" ht="17.25" customHeight="1">
      <c r="A119" s="46"/>
      <c r="B119" s="44" t="s">
        <v>398</v>
      </c>
      <c r="C119" s="45"/>
      <c r="D119" s="48">
        <v>50000</v>
      </c>
      <c r="E119" s="47"/>
    </row>
    <row r="120" spans="1:5" ht="17.25" customHeight="1">
      <c r="A120" s="33" t="s">
        <v>246</v>
      </c>
      <c r="B120" s="36" t="s">
        <v>31</v>
      </c>
      <c r="C120" s="35">
        <f>SUM(C121:C122)</f>
        <v>69696</v>
      </c>
      <c r="D120" s="39">
        <f>SUM(D121:D122)</f>
        <v>90072</v>
      </c>
      <c r="E120" s="31"/>
    </row>
    <row r="121" spans="1:5" s="18" customFormat="1" ht="17.25" customHeight="1">
      <c r="A121" s="46"/>
      <c r="B121" s="44" t="s">
        <v>174</v>
      </c>
      <c r="C121" s="45">
        <f>4*1210*12</f>
        <v>58080</v>
      </c>
      <c r="D121" s="48">
        <v>75060</v>
      </c>
      <c r="E121" s="45"/>
    </row>
    <row r="122" spans="1:5" s="18" customFormat="1" ht="17.25" customHeight="1">
      <c r="A122" s="46"/>
      <c r="B122" s="44" t="s">
        <v>209</v>
      </c>
      <c r="C122" s="45">
        <f>C121/100*20</f>
        <v>11616</v>
      </c>
      <c r="D122" s="48">
        <f>D121/100*20</f>
        <v>15012</v>
      </c>
      <c r="E122" s="45"/>
    </row>
    <row r="123" spans="1:5" ht="18" customHeight="1">
      <c r="A123" s="28">
        <v>8</v>
      </c>
      <c r="B123" s="29" t="s">
        <v>15</v>
      </c>
      <c r="C123" s="30">
        <f>C124+C138+C176+C222</f>
        <v>22192940.75</v>
      </c>
      <c r="D123" s="30">
        <f>D124+D138+D176+D222</f>
        <v>29051582</v>
      </c>
      <c r="E123" s="31"/>
    </row>
    <row r="124" spans="1:5" s="6" customFormat="1" ht="18" customHeight="1">
      <c r="A124" s="28" t="s">
        <v>92</v>
      </c>
      <c r="B124" s="29" t="s">
        <v>366</v>
      </c>
      <c r="C124" s="30">
        <f>SUM(C125:C132)</f>
        <v>11391973</v>
      </c>
      <c r="D124" s="30">
        <f>SUM(D125:D137)</f>
        <v>12433398.75</v>
      </c>
      <c r="E124" s="49"/>
    </row>
    <row r="125" spans="1:5" ht="20.25" customHeight="1">
      <c r="A125" s="46"/>
      <c r="B125" s="60" t="s">
        <v>167</v>
      </c>
      <c r="C125" s="35">
        <f>7049948+804420</f>
        <v>7854368</v>
      </c>
      <c r="D125" s="35">
        <f>7312963-72000</f>
        <v>7240963</v>
      </c>
      <c r="E125" s="31"/>
    </row>
    <row r="126" spans="1:5" ht="18" customHeight="1">
      <c r="A126" s="46"/>
      <c r="B126" s="36" t="s">
        <v>103</v>
      </c>
      <c r="C126" s="35">
        <f>C125/100*25+2013</f>
        <v>1965604.9999999998</v>
      </c>
      <c r="D126" s="35">
        <f>(D125)/100*25-805-4000</f>
        <v>1805435.75</v>
      </c>
      <c r="E126" s="31"/>
    </row>
    <row r="127" spans="1:5" ht="18" customHeight="1">
      <c r="A127" s="46"/>
      <c r="B127" s="36" t="s">
        <v>94</v>
      </c>
      <c r="C127" s="35">
        <v>150000</v>
      </c>
      <c r="D127" s="35">
        <v>200000</v>
      </c>
      <c r="E127" s="31"/>
    </row>
    <row r="128" spans="1:5" ht="18" customHeight="1">
      <c r="A128" s="46"/>
      <c r="B128" s="36" t="s">
        <v>362</v>
      </c>
      <c r="C128" s="35"/>
      <c r="D128" s="35">
        <v>100000</v>
      </c>
      <c r="E128" s="31"/>
    </row>
    <row r="129" spans="1:5" ht="18" customHeight="1">
      <c r="A129" s="46"/>
      <c r="B129" s="36" t="s">
        <v>74</v>
      </c>
      <c r="C129" s="35">
        <v>600000</v>
      </c>
      <c r="D129" s="35">
        <v>700000</v>
      </c>
      <c r="E129" s="31"/>
    </row>
    <row r="130" spans="1:5" ht="18" customHeight="1">
      <c r="A130" s="46"/>
      <c r="B130" s="36" t="s">
        <v>54</v>
      </c>
      <c r="C130" s="35">
        <v>50000</v>
      </c>
      <c r="D130" s="35">
        <v>50000</v>
      </c>
      <c r="E130" s="31"/>
    </row>
    <row r="131" spans="1:5" ht="15.75">
      <c r="A131" s="46"/>
      <c r="B131" s="61" t="s">
        <v>363</v>
      </c>
      <c r="C131" s="35">
        <v>72000</v>
      </c>
      <c r="D131" s="35">
        <f>3*3000*12</f>
        <v>108000</v>
      </c>
      <c r="E131" s="31"/>
    </row>
    <row r="132" spans="1:5" ht="18" customHeight="1">
      <c r="A132" s="46"/>
      <c r="B132" s="36" t="s">
        <v>188</v>
      </c>
      <c r="C132" s="35">
        <v>700000</v>
      </c>
      <c r="D132" s="35">
        <v>900000</v>
      </c>
      <c r="E132" s="31"/>
    </row>
    <row r="133" spans="1:5" ht="18" customHeight="1">
      <c r="A133" s="46"/>
      <c r="B133" s="34" t="s">
        <v>367</v>
      </c>
      <c r="C133" s="35"/>
      <c r="D133" s="35">
        <v>12000</v>
      </c>
      <c r="E133" s="31"/>
    </row>
    <row r="134" spans="1:5" ht="18" customHeight="1">
      <c r="A134" s="46"/>
      <c r="B134" s="36" t="s">
        <v>196</v>
      </c>
      <c r="C134" s="35"/>
      <c r="D134" s="35">
        <f>15*500*12</f>
        <v>90000</v>
      </c>
      <c r="E134" s="31"/>
    </row>
    <row r="135" spans="1:5" ht="31.5">
      <c r="A135" s="46"/>
      <c r="B135" s="61" t="s">
        <v>345</v>
      </c>
      <c r="C135" s="35"/>
      <c r="D135" s="35">
        <v>302000</v>
      </c>
      <c r="E135" s="31"/>
    </row>
    <row r="136" spans="1:5" ht="15.75">
      <c r="A136" s="46"/>
      <c r="B136" s="61" t="s">
        <v>346</v>
      </c>
      <c r="C136" s="35"/>
      <c r="D136" s="35">
        <f>627000-D135</f>
        <v>325000</v>
      </c>
      <c r="E136" s="31"/>
    </row>
    <row r="137" spans="1:5" ht="18" customHeight="1">
      <c r="A137" s="46"/>
      <c r="B137" s="62" t="s">
        <v>187</v>
      </c>
      <c r="C137" s="35"/>
      <c r="D137" s="35">
        <v>600000</v>
      </c>
      <c r="E137" s="31"/>
    </row>
    <row r="138" spans="1:5" s="6" customFormat="1" ht="18" customHeight="1">
      <c r="A138" s="28" t="s">
        <v>93</v>
      </c>
      <c r="B138" s="50" t="s">
        <v>322</v>
      </c>
      <c r="C138" s="30">
        <f>SUM(C139:C139)</f>
        <v>561056</v>
      </c>
      <c r="D138" s="30">
        <f>D139+D144+D153+D157+D160+D161+D162+D163+D164+D171+D172+D173+D174+D175</f>
        <v>2089230</v>
      </c>
      <c r="E138" s="49"/>
    </row>
    <row r="139" spans="1:5" ht="18" customHeight="1">
      <c r="A139" s="46" t="s">
        <v>62</v>
      </c>
      <c r="B139" s="38" t="s">
        <v>326</v>
      </c>
      <c r="C139" s="39">
        <v>561056</v>
      </c>
      <c r="D139" s="39">
        <f>SUM(D140:D143)</f>
        <v>563600</v>
      </c>
      <c r="E139" s="31"/>
    </row>
    <row r="140" spans="1:5" ht="18" customHeight="1">
      <c r="A140" s="46"/>
      <c r="B140" s="44" t="s">
        <v>328</v>
      </c>
      <c r="C140" s="45"/>
      <c r="D140" s="45">
        <f>266880+8340+10008+20016+13344+12</f>
        <v>318600</v>
      </c>
      <c r="E140" s="31"/>
    </row>
    <row r="141" spans="1:5" ht="18" customHeight="1">
      <c r="A141" s="46"/>
      <c r="B141" s="44" t="s">
        <v>323</v>
      </c>
      <c r="C141" s="45"/>
      <c r="D141" s="45">
        <v>84000</v>
      </c>
      <c r="E141" s="31"/>
    </row>
    <row r="142" spans="1:5" ht="18" customHeight="1">
      <c r="A142" s="46"/>
      <c r="B142" s="44" t="s">
        <v>324</v>
      </c>
      <c r="C142" s="45"/>
      <c r="D142" s="45">
        <f>100800+200</f>
        <v>101000</v>
      </c>
      <c r="E142" s="31"/>
    </row>
    <row r="143" spans="1:5" ht="18" customHeight="1">
      <c r="A143" s="46"/>
      <c r="B143" s="44" t="s">
        <v>325</v>
      </c>
      <c r="C143" s="45"/>
      <c r="D143" s="45">
        <v>60000</v>
      </c>
      <c r="E143" s="31"/>
    </row>
    <row r="144" spans="1:5" ht="15.75">
      <c r="A144" s="33" t="s">
        <v>62</v>
      </c>
      <c r="B144" s="34" t="s">
        <v>327</v>
      </c>
      <c r="C144" s="35"/>
      <c r="D144" s="39">
        <f>SUM(D145:D152)</f>
        <v>133140</v>
      </c>
      <c r="E144" s="31"/>
    </row>
    <row r="145" spans="1:5" ht="15.75">
      <c r="A145" s="33"/>
      <c r="B145" s="63" t="s">
        <v>197</v>
      </c>
      <c r="C145" s="45"/>
      <c r="D145" s="48">
        <f>3*2*2*250</f>
        <v>3000</v>
      </c>
      <c r="E145" s="31"/>
    </row>
    <row r="146" spans="1:5" ht="15.75">
      <c r="A146" s="33"/>
      <c r="B146" s="63" t="s">
        <v>198</v>
      </c>
      <c r="C146" s="45"/>
      <c r="D146" s="48">
        <f>3*2*2*220</f>
        <v>2640</v>
      </c>
      <c r="E146" s="31"/>
    </row>
    <row r="147" spans="1:5" ht="15.75">
      <c r="A147" s="33"/>
      <c r="B147" s="63" t="s">
        <v>200</v>
      </c>
      <c r="C147" s="45"/>
      <c r="D147" s="48">
        <f>40*2*2*150</f>
        <v>24000</v>
      </c>
      <c r="E147" s="31"/>
    </row>
    <row r="148" spans="1:5" ht="31.5">
      <c r="A148" s="33"/>
      <c r="B148" s="63" t="s">
        <v>318</v>
      </c>
      <c r="C148" s="45"/>
      <c r="D148" s="48">
        <f>180*2*2*100</f>
        <v>72000</v>
      </c>
      <c r="E148" s="31"/>
    </row>
    <row r="149" spans="1:5" ht="15.75">
      <c r="A149" s="33"/>
      <c r="B149" s="63" t="s">
        <v>199</v>
      </c>
      <c r="C149" s="45"/>
      <c r="D149" s="48">
        <f>20*2*2*80</f>
        <v>6400</v>
      </c>
      <c r="E149" s="31"/>
    </row>
    <row r="150" spans="1:5" ht="15.75">
      <c r="A150" s="33"/>
      <c r="B150" s="63" t="s">
        <v>319</v>
      </c>
      <c r="C150" s="45"/>
      <c r="D150" s="48">
        <f>5*150*2</f>
        <v>1500</v>
      </c>
      <c r="E150" s="31"/>
    </row>
    <row r="151" spans="1:5" ht="15.75">
      <c r="A151" s="33"/>
      <c r="B151" s="63" t="s">
        <v>320</v>
      </c>
      <c r="C151" s="45"/>
      <c r="D151" s="48">
        <v>6000</v>
      </c>
      <c r="E151" s="31"/>
    </row>
    <row r="152" spans="1:5" ht="15.75">
      <c r="A152" s="33"/>
      <c r="B152" s="63" t="s">
        <v>321</v>
      </c>
      <c r="C152" s="45"/>
      <c r="D152" s="48">
        <f>220*2*2*20</f>
        <v>17600</v>
      </c>
      <c r="E152" s="31"/>
    </row>
    <row r="153" spans="1:5" ht="15.75">
      <c r="A153" s="33" t="s">
        <v>62</v>
      </c>
      <c r="B153" s="34" t="s">
        <v>329</v>
      </c>
      <c r="C153" s="45"/>
      <c r="D153" s="48">
        <f>SUM(D154:D156)</f>
        <v>12930</v>
      </c>
      <c r="E153" s="31"/>
    </row>
    <row r="154" spans="1:5" ht="15.75">
      <c r="A154" s="33"/>
      <c r="B154" s="63" t="s">
        <v>344</v>
      </c>
      <c r="C154" s="45"/>
      <c r="D154" s="48">
        <f>12*150*6</f>
        <v>10800</v>
      </c>
      <c r="E154" s="31"/>
    </row>
    <row r="155" spans="1:5" ht="15.75">
      <c r="A155" s="33"/>
      <c r="B155" s="63" t="s">
        <v>340</v>
      </c>
      <c r="C155" s="45"/>
      <c r="D155" s="48">
        <f>3*80*6</f>
        <v>1440</v>
      </c>
      <c r="E155" s="31"/>
    </row>
    <row r="156" spans="1:5" ht="15.75">
      <c r="A156" s="33"/>
      <c r="B156" s="63" t="s">
        <v>341</v>
      </c>
      <c r="C156" s="45"/>
      <c r="D156" s="48">
        <f>23*5*6</f>
        <v>690</v>
      </c>
      <c r="E156" s="31"/>
    </row>
    <row r="157" spans="1:5" ht="15.75">
      <c r="A157" s="33" t="s">
        <v>62</v>
      </c>
      <c r="B157" s="34" t="s">
        <v>112</v>
      </c>
      <c r="C157" s="35"/>
      <c r="D157" s="39">
        <f>SUM(D158:D159)</f>
        <v>120000</v>
      </c>
      <c r="E157" s="31"/>
    </row>
    <row r="158" spans="1:5" ht="15.75">
      <c r="A158" s="33"/>
      <c r="B158" s="63" t="s">
        <v>330</v>
      </c>
      <c r="C158" s="45"/>
      <c r="D158" s="48">
        <v>43000</v>
      </c>
      <c r="E158" s="31"/>
    </row>
    <row r="159" spans="1:5" ht="15.75">
      <c r="A159" s="33"/>
      <c r="B159" s="63" t="s">
        <v>331</v>
      </c>
      <c r="C159" s="45"/>
      <c r="D159" s="48">
        <v>77000</v>
      </c>
      <c r="E159" s="31"/>
    </row>
    <row r="160" spans="1:5" ht="15.75">
      <c r="A160" s="33" t="s">
        <v>62</v>
      </c>
      <c r="B160" s="34" t="s">
        <v>335</v>
      </c>
      <c r="C160" s="35"/>
      <c r="D160" s="39">
        <v>200000</v>
      </c>
      <c r="E160" s="31"/>
    </row>
    <row r="161" spans="1:5" ht="15.75">
      <c r="A161" s="33" t="s">
        <v>62</v>
      </c>
      <c r="B161" s="34" t="s">
        <v>310</v>
      </c>
      <c r="C161" s="35"/>
      <c r="D161" s="39">
        <v>40000</v>
      </c>
      <c r="E161" s="31"/>
    </row>
    <row r="162" spans="1:5" ht="15.75">
      <c r="A162" s="33" t="s">
        <v>62</v>
      </c>
      <c r="B162" s="34" t="s">
        <v>336</v>
      </c>
      <c r="C162" s="35"/>
      <c r="D162" s="39">
        <v>215000</v>
      </c>
      <c r="E162" s="31"/>
    </row>
    <row r="163" spans="1:5" ht="15.75">
      <c r="A163" s="33" t="s">
        <v>62</v>
      </c>
      <c r="B163" s="34" t="s">
        <v>337</v>
      </c>
      <c r="C163" s="35"/>
      <c r="D163" s="39">
        <v>112400</v>
      </c>
      <c r="E163" s="31"/>
    </row>
    <row r="164" spans="1:5" ht="15.75">
      <c r="A164" s="33" t="s">
        <v>62</v>
      </c>
      <c r="B164" s="34" t="s">
        <v>175</v>
      </c>
      <c r="C164" s="35"/>
      <c r="D164" s="39">
        <f>SUM(D165:D170)</f>
        <v>100160</v>
      </c>
      <c r="E164" s="31"/>
    </row>
    <row r="165" spans="1:5" ht="15.75">
      <c r="A165" s="33"/>
      <c r="B165" s="63" t="s">
        <v>389</v>
      </c>
      <c r="C165" s="45"/>
      <c r="D165" s="45">
        <v>4000</v>
      </c>
      <c r="E165" s="31"/>
    </row>
    <row r="166" spans="1:5" ht="15.75">
      <c r="A166" s="33"/>
      <c r="B166" s="63" t="s">
        <v>390</v>
      </c>
      <c r="C166" s="45"/>
      <c r="D166" s="45">
        <v>8000</v>
      </c>
      <c r="E166" s="31"/>
    </row>
    <row r="167" spans="1:5" ht="15.75">
      <c r="A167" s="33"/>
      <c r="B167" s="63" t="s">
        <v>332</v>
      </c>
      <c r="C167" s="45"/>
      <c r="D167" s="48">
        <f>1*2*22*1000</f>
        <v>44000</v>
      </c>
      <c r="E167" s="31"/>
    </row>
    <row r="168" spans="1:5" ht="15.75">
      <c r="A168" s="33"/>
      <c r="B168" s="63" t="s">
        <v>343</v>
      </c>
      <c r="C168" s="45"/>
      <c r="D168" s="48">
        <v>30000</v>
      </c>
      <c r="E168" s="31"/>
    </row>
    <row r="169" spans="1:5" ht="31.5">
      <c r="A169" s="33"/>
      <c r="B169" s="63" t="s">
        <v>357</v>
      </c>
      <c r="C169" s="45"/>
      <c r="D169" s="48">
        <f>3*22*1*2*100</f>
        <v>13200</v>
      </c>
      <c r="E169" s="31"/>
    </row>
    <row r="170" spans="1:5" ht="15.75">
      <c r="A170" s="33"/>
      <c r="B170" s="63" t="s">
        <v>333</v>
      </c>
      <c r="C170" s="45"/>
      <c r="D170" s="48">
        <f>6*2*80</f>
        <v>960</v>
      </c>
      <c r="E170" s="31"/>
    </row>
    <row r="171" spans="1:5" ht="15.75">
      <c r="A171" s="33" t="s">
        <v>62</v>
      </c>
      <c r="B171" s="34" t="s">
        <v>418</v>
      </c>
      <c r="C171" s="35"/>
      <c r="D171" s="39">
        <v>80000</v>
      </c>
      <c r="E171" s="31"/>
    </row>
    <row r="172" spans="1:5" ht="15.75">
      <c r="A172" s="33" t="s">
        <v>62</v>
      </c>
      <c r="B172" s="34" t="s">
        <v>342</v>
      </c>
      <c r="C172" s="35"/>
      <c r="D172" s="39">
        <v>100000</v>
      </c>
      <c r="E172" s="31"/>
    </row>
    <row r="173" spans="1:5" ht="15.75">
      <c r="A173" s="33" t="s">
        <v>62</v>
      </c>
      <c r="B173" s="34" t="s">
        <v>419</v>
      </c>
      <c r="C173" s="35"/>
      <c r="D173" s="39">
        <v>150000</v>
      </c>
      <c r="E173" s="31"/>
    </row>
    <row r="174" spans="1:5" ht="15.75">
      <c r="A174" s="33" t="s">
        <v>62</v>
      </c>
      <c r="B174" s="34" t="s">
        <v>176</v>
      </c>
      <c r="C174" s="35"/>
      <c r="D174" s="39">
        <v>250000</v>
      </c>
      <c r="E174" s="31"/>
    </row>
    <row r="175" spans="1:5" ht="15.75">
      <c r="A175" s="37" t="s">
        <v>156</v>
      </c>
      <c r="B175" s="34" t="s">
        <v>334</v>
      </c>
      <c r="C175" s="35"/>
      <c r="D175" s="39">
        <f>1*1000*12</f>
        <v>12000</v>
      </c>
      <c r="E175" s="31"/>
    </row>
    <row r="176" spans="1:5" s="6" customFormat="1" ht="18" customHeight="1">
      <c r="A176" s="28" t="s">
        <v>227</v>
      </c>
      <c r="B176" s="29" t="s">
        <v>16</v>
      </c>
      <c r="C176" s="30">
        <f>+C177+C189</f>
        <v>6789518</v>
      </c>
      <c r="D176" s="30">
        <f>+D177+D189</f>
        <v>10152724.5</v>
      </c>
      <c r="E176" s="49"/>
    </row>
    <row r="177" spans="1:5" s="6" customFormat="1" ht="18" customHeight="1">
      <c r="A177" s="28"/>
      <c r="B177" s="64" t="s">
        <v>75</v>
      </c>
      <c r="C177" s="30">
        <f>SUM(C178:C188)</f>
        <v>5359518</v>
      </c>
      <c r="D177" s="30">
        <f>SUM(D178:D188)</f>
        <v>6799724.5</v>
      </c>
      <c r="E177" s="49"/>
    </row>
    <row r="178" spans="1:5" ht="18" customHeight="1">
      <c r="A178" s="46"/>
      <c r="B178" s="62" t="s">
        <v>312</v>
      </c>
      <c r="C178" s="39">
        <v>3632552</v>
      </c>
      <c r="D178" s="39">
        <f>4433114-48000</f>
        <v>4385114</v>
      </c>
      <c r="E178" s="31"/>
    </row>
    <row r="179" spans="1:5" ht="18" customHeight="1">
      <c r="A179" s="46"/>
      <c r="B179" s="62" t="s">
        <v>361</v>
      </c>
      <c r="C179" s="39">
        <f>2*3000*12</f>
        <v>72000</v>
      </c>
      <c r="D179" s="39">
        <f>3000*12</f>
        <v>36000</v>
      </c>
      <c r="E179" s="31"/>
    </row>
    <row r="180" spans="1:5" ht="18" customHeight="1">
      <c r="A180" s="46"/>
      <c r="B180" s="62" t="s">
        <v>313</v>
      </c>
      <c r="C180" s="39"/>
      <c r="D180" s="39">
        <f>4000*12</f>
        <v>48000</v>
      </c>
      <c r="E180" s="31"/>
    </row>
    <row r="181" spans="1:5" ht="18" customHeight="1">
      <c r="A181" s="43" t="s">
        <v>35</v>
      </c>
      <c r="B181" s="62" t="s">
        <v>401</v>
      </c>
      <c r="C181" s="39">
        <f>41*0.4*1210*12</f>
        <v>238128.00000000006</v>
      </c>
      <c r="D181" s="39">
        <f>41*1390*0.4*12</f>
        <v>273552</v>
      </c>
      <c r="E181" s="31"/>
    </row>
    <row r="182" spans="1:5" ht="18" customHeight="1">
      <c r="A182" s="43"/>
      <c r="B182" s="16" t="s">
        <v>402</v>
      </c>
      <c r="C182" s="39"/>
      <c r="D182" s="39">
        <f>30*0.2*1390*12</f>
        <v>100080</v>
      </c>
      <c r="E182" s="31"/>
    </row>
    <row r="183" spans="1:5" ht="18" customHeight="1">
      <c r="A183" s="46"/>
      <c r="B183" s="62" t="s">
        <v>43</v>
      </c>
      <c r="C183" s="39">
        <v>22000</v>
      </c>
      <c r="D183" s="39">
        <v>24000</v>
      </c>
      <c r="E183" s="31"/>
    </row>
    <row r="184" spans="1:5" ht="18" customHeight="1">
      <c r="A184" s="46"/>
      <c r="B184" s="62" t="s">
        <v>314</v>
      </c>
      <c r="C184" s="39">
        <v>36700</v>
      </c>
      <c r="D184" s="39">
        <v>36700</v>
      </c>
      <c r="E184" s="31"/>
    </row>
    <row r="185" spans="1:5" ht="18" customHeight="1">
      <c r="A185" s="46"/>
      <c r="B185" s="62" t="s">
        <v>109</v>
      </c>
      <c r="C185" s="39">
        <f>C178/100*25</f>
        <v>908137.9999999999</v>
      </c>
      <c r="D185" s="39">
        <f>D178/100*25</f>
        <v>1096278.5</v>
      </c>
      <c r="E185" s="31"/>
    </row>
    <row r="186" spans="1:5" ht="18" customHeight="1">
      <c r="A186" s="46"/>
      <c r="B186" s="62" t="s">
        <v>133</v>
      </c>
      <c r="C186" s="39">
        <v>450000</v>
      </c>
      <c r="D186" s="39">
        <v>450000</v>
      </c>
      <c r="E186" s="31"/>
    </row>
    <row r="187" spans="1:5" ht="18" customHeight="1">
      <c r="A187" s="46"/>
      <c r="B187" s="62" t="s">
        <v>420</v>
      </c>
      <c r="C187" s="39"/>
      <c r="D187" s="39">
        <v>100000</v>
      </c>
      <c r="E187" s="31"/>
    </row>
    <row r="188" spans="1:5" ht="18" customHeight="1">
      <c r="A188" s="46"/>
      <c r="B188" s="62" t="s">
        <v>364</v>
      </c>
      <c r="C188" s="39"/>
      <c r="D188" s="39">
        <v>250000</v>
      </c>
      <c r="E188" s="31"/>
    </row>
    <row r="189" spans="1:5" s="6" customFormat="1" ht="18" customHeight="1">
      <c r="A189" s="65"/>
      <c r="B189" s="29" t="s">
        <v>77</v>
      </c>
      <c r="C189" s="30">
        <f>SUM(C190:C221)</f>
        <v>1430000</v>
      </c>
      <c r="D189" s="30">
        <f>SUM(D190:D221)</f>
        <v>3353000</v>
      </c>
      <c r="E189" s="49"/>
    </row>
    <row r="190" spans="1:6" ht="18" customHeight="1">
      <c r="A190" s="46"/>
      <c r="B190" s="36" t="s">
        <v>403</v>
      </c>
      <c r="C190" s="35">
        <v>150000</v>
      </c>
      <c r="D190" s="35">
        <v>250000</v>
      </c>
      <c r="E190" s="57"/>
      <c r="F190" s="21"/>
    </row>
    <row r="191" spans="1:5" ht="18" customHeight="1">
      <c r="A191" s="46"/>
      <c r="B191" s="36" t="s">
        <v>315</v>
      </c>
      <c r="C191" s="35">
        <v>156000</v>
      </c>
      <c r="D191" s="35">
        <f>13*2000*12</f>
        <v>312000</v>
      </c>
      <c r="E191" s="31"/>
    </row>
    <row r="192" spans="1:5" ht="72.75" customHeight="1">
      <c r="A192" s="46"/>
      <c r="B192" s="66" t="s">
        <v>300</v>
      </c>
      <c r="C192" s="67">
        <v>412000</v>
      </c>
      <c r="D192" s="83">
        <v>412000</v>
      </c>
      <c r="E192" s="31"/>
    </row>
    <row r="193" spans="1:5" ht="15.75">
      <c r="A193" s="46"/>
      <c r="B193" s="34" t="s">
        <v>78</v>
      </c>
      <c r="C193" s="35">
        <v>80000</v>
      </c>
      <c r="D193" s="35">
        <v>125000</v>
      </c>
      <c r="E193" s="31"/>
    </row>
    <row r="194" spans="1:5" ht="15.75">
      <c r="A194" s="46"/>
      <c r="B194" s="36" t="s">
        <v>76</v>
      </c>
      <c r="C194" s="35">
        <v>50000</v>
      </c>
      <c r="D194" s="35">
        <v>55000</v>
      </c>
      <c r="E194" s="31"/>
    </row>
    <row r="195" spans="1:5" ht="15.75">
      <c r="A195" s="46"/>
      <c r="B195" s="36" t="s">
        <v>404</v>
      </c>
      <c r="C195" s="35"/>
      <c r="D195" s="35">
        <v>11000</v>
      </c>
      <c r="E195" s="55" t="s">
        <v>405</v>
      </c>
    </row>
    <row r="196" spans="1:5" ht="15.75">
      <c r="A196" s="46"/>
      <c r="B196" s="36" t="s">
        <v>406</v>
      </c>
      <c r="C196" s="35"/>
      <c r="D196" s="35">
        <v>20000</v>
      </c>
      <c r="E196" s="31"/>
    </row>
    <row r="197" spans="1:5" ht="15.75">
      <c r="A197" s="46"/>
      <c r="B197" s="36" t="s">
        <v>407</v>
      </c>
      <c r="C197" s="35"/>
      <c r="D197" s="35">
        <v>50000</v>
      </c>
      <c r="E197" s="31"/>
    </row>
    <row r="198" spans="1:5" ht="15.75">
      <c r="A198" s="46"/>
      <c r="B198" s="36" t="s">
        <v>408</v>
      </c>
      <c r="C198" s="35"/>
      <c r="D198" s="35">
        <v>15000</v>
      </c>
      <c r="E198" s="31"/>
    </row>
    <row r="199" spans="1:5" ht="15.75">
      <c r="A199" s="46"/>
      <c r="B199" s="36" t="s">
        <v>311</v>
      </c>
      <c r="C199" s="35">
        <v>60000</v>
      </c>
      <c r="D199" s="35">
        <v>80000</v>
      </c>
      <c r="E199" s="31"/>
    </row>
    <row r="200" spans="1:5" ht="15.75">
      <c r="A200" s="46"/>
      <c r="B200" s="36" t="s">
        <v>135</v>
      </c>
      <c r="C200" s="35">
        <v>12000</v>
      </c>
      <c r="D200" s="35">
        <v>12000</v>
      </c>
      <c r="E200" s="31"/>
    </row>
    <row r="201" spans="1:5" ht="15.75">
      <c r="A201" s="46"/>
      <c r="B201" s="36" t="s">
        <v>409</v>
      </c>
      <c r="C201" s="35"/>
      <c r="D201" s="35">
        <v>176000</v>
      </c>
      <c r="E201" s="31"/>
    </row>
    <row r="202" spans="1:5" ht="15.75">
      <c r="A202" s="46"/>
      <c r="B202" s="34" t="s">
        <v>88</v>
      </c>
      <c r="C202" s="35">
        <v>10000</v>
      </c>
      <c r="D202" s="35">
        <v>20000</v>
      </c>
      <c r="E202" s="31"/>
    </row>
    <row r="203" spans="1:5" ht="15.75">
      <c r="A203" s="46"/>
      <c r="B203" s="36" t="s">
        <v>383</v>
      </c>
      <c r="C203" s="35">
        <v>10000</v>
      </c>
      <c r="D203" s="35">
        <v>12000</v>
      </c>
      <c r="E203" s="31"/>
    </row>
    <row r="204" spans="1:5" ht="15.75">
      <c r="A204" s="46"/>
      <c r="B204" s="17" t="s">
        <v>384</v>
      </c>
      <c r="C204" s="35"/>
      <c r="D204" s="35">
        <v>60000</v>
      </c>
      <c r="E204" s="31"/>
    </row>
    <row r="205" spans="1:5" ht="15.75">
      <c r="A205" s="46"/>
      <c r="B205" s="36" t="s">
        <v>410</v>
      </c>
      <c r="C205" s="35"/>
      <c r="D205" s="35">
        <v>15000</v>
      </c>
      <c r="E205" s="31"/>
    </row>
    <row r="206" spans="1:5" ht="15.75">
      <c r="A206" s="46"/>
      <c r="B206" s="36" t="s">
        <v>399</v>
      </c>
      <c r="C206" s="35">
        <v>50000</v>
      </c>
      <c r="D206" s="35">
        <v>15000</v>
      </c>
      <c r="E206" s="31"/>
    </row>
    <row r="207" spans="1:5" ht="17.25" customHeight="1">
      <c r="A207" s="46"/>
      <c r="B207" s="34" t="s">
        <v>411</v>
      </c>
      <c r="C207" s="35"/>
      <c r="D207" s="35">
        <v>30000</v>
      </c>
      <c r="E207" s="31"/>
    </row>
    <row r="208" spans="1:5" ht="17.25" customHeight="1">
      <c r="A208" s="46"/>
      <c r="B208" s="34" t="s">
        <v>412</v>
      </c>
      <c r="C208" s="35"/>
      <c r="D208" s="35">
        <v>60000</v>
      </c>
      <c r="E208" s="31"/>
    </row>
    <row r="209" spans="1:5" ht="15.75">
      <c r="A209" s="46"/>
      <c r="B209" s="34" t="s">
        <v>316</v>
      </c>
      <c r="C209" s="35"/>
      <c r="D209" s="35">
        <v>28000</v>
      </c>
      <c r="E209" s="31"/>
    </row>
    <row r="210" spans="1:5" ht="18" customHeight="1">
      <c r="A210" s="46"/>
      <c r="B210" s="36" t="s">
        <v>91</v>
      </c>
      <c r="C210" s="35">
        <v>150000</v>
      </c>
      <c r="D210" s="35">
        <v>180000</v>
      </c>
      <c r="E210" s="31"/>
    </row>
    <row r="211" spans="1:5" ht="18" customHeight="1">
      <c r="A211" s="46"/>
      <c r="B211" s="36" t="s">
        <v>214</v>
      </c>
      <c r="C211" s="35">
        <v>40000</v>
      </c>
      <c r="D211" s="35">
        <v>100000</v>
      </c>
      <c r="E211" s="31"/>
    </row>
    <row r="212" spans="1:5" ht="15.75">
      <c r="A212" s="46"/>
      <c r="B212" s="61" t="s">
        <v>131</v>
      </c>
      <c r="C212" s="35">
        <v>50000</v>
      </c>
      <c r="D212" s="35">
        <v>70000</v>
      </c>
      <c r="E212" s="31"/>
    </row>
    <row r="213" spans="1:5" ht="17.25" customHeight="1">
      <c r="A213" s="46"/>
      <c r="B213" s="61" t="s">
        <v>369</v>
      </c>
      <c r="C213" s="35">
        <v>40000</v>
      </c>
      <c r="D213" s="35">
        <v>30000</v>
      </c>
      <c r="E213" s="31"/>
    </row>
    <row r="214" spans="1:5" ht="17.25" customHeight="1">
      <c r="A214" s="46"/>
      <c r="B214" s="34" t="s">
        <v>370</v>
      </c>
      <c r="C214" s="35">
        <v>20000</v>
      </c>
      <c r="D214" s="35">
        <v>20000</v>
      </c>
      <c r="E214" s="31"/>
    </row>
    <row r="215" spans="1:5" ht="17.25" customHeight="1">
      <c r="A215" s="46"/>
      <c r="B215" s="34" t="s">
        <v>371</v>
      </c>
      <c r="C215" s="35">
        <v>20000</v>
      </c>
      <c r="D215" s="35">
        <v>20000</v>
      </c>
      <c r="E215" s="31"/>
    </row>
    <row r="216" spans="1:5" ht="17.25" customHeight="1">
      <c r="A216" s="46"/>
      <c r="B216" s="34" t="s">
        <v>372</v>
      </c>
      <c r="C216" s="35">
        <v>20000</v>
      </c>
      <c r="D216" s="35">
        <v>20000</v>
      </c>
      <c r="E216" s="31"/>
    </row>
    <row r="217" spans="1:5" ht="17.25" customHeight="1">
      <c r="A217" s="46"/>
      <c r="B217" s="34" t="s">
        <v>421</v>
      </c>
      <c r="C217" s="35"/>
      <c r="D217" s="35">
        <v>60000</v>
      </c>
      <c r="E217" s="31"/>
    </row>
    <row r="218" spans="1:5" ht="15.75">
      <c r="A218" s="46"/>
      <c r="B218" s="85" t="s">
        <v>422</v>
      </c>
      <c r="C218" s="39"/>
      <c r="D218" s="35">
        <v>350000</v>
      </c>
      <c r="E218" s="58"/>
    </row>
    <row r="219" spans="1:5" ht="15.75">
      <c r="A219" s="46"/>
      <c r="B219" s="85" t="s">
        <v>368</v>
      </c>
      <c r="C219" s="39"/>
      <c r="D219" s="35">
        <v>400000</v>
      </c>
      <c r="E219" s="31"/>
    </row>
    <row r="220" spans="1:5" ht="15.75">
      <c r="A220" s="46"/>
      <c r="B220" s="85" t="s">
        <v>400</v>
      </c>
      <c r="C220" s="39"/>
      <c r="D220" s="35">
        <f>13*15000</f>
        <v>195000</v>
      </c>
      <c r="E220" s="31"/>
    </row>
    <row r="221" spans="1:5" ht="17.25" customHeight="1">
      <c r="A221" s="46"/>
      <c r="B221" s="36" t="s">
        <v>132</v>
      </c>
      <c r="C221" s="35">
        <v>100000</v>
      </c>
      <c r="D221" s="39">
        <v>150000</v>
      </c>
      <c r="E221" s="31"/>
    </row>
    <row r="222" spans="1:5" s="6" customFormat="1" ht="17.25" customHeight="1">
      <c r="A222" s="28" t="s">
        <v>247</v>
      </c>
      <c r="B222" s="29" t="s">
        <v>17</v>
      </c>
      <c r="C222" s="30">
        <f>C223+C240+C246+C252+C258</f>
        <v>3450393.75</v>
      </c>
      <c r="D222" s="30">
        <f>D223+D240+D246+D252+D258</f>
        <v>4376228.75</v>
      </c>
      <c r="E222" s="49"/>
    </row>
    <row r="223" spans="1:5" s="7" customFormat="1" ht="17.25" customHeight="1">
      <c r="A223" s="28" t="s">
        <v>62</v>
      </c>
      <c r="B223" s="29" t="s">
        <v>44</v>
      </c>
      <c r="C223" s="30">
        <f>SUM(C225:C237)</f>
        <v>1175741.25</v>
      </c>
      <c r="D223" s="30">
        <f>D224+D234</f>
        <v>1614212.5</v>
      </c>
      <c r="E223" s="68"/>
    </row>
    <row r="224" spans="1:5" s="7" customFormat="1" ht="17.25" customHeight="1">
      <c r="A224" s="65"/>
      <c r="B224" s="64" t="s">
        <v>424</v>
      </c>
      <c r="C224" s="87"/>
      <c r="D224" s="87">
        <f>SUM(D225:D233)</f>
        <v>1198212.5</v>
      </c>
      <c r="E224" s="68"/>
    </row>
    <row r="225" spans="1:5" s="18" customFormat="1" ht="17.25" customHeight="1">
      <c r="A225" s="46"/>
      <c r="B225" s="36" t="s">
        <v>168</v>
      </c>
      <c r="C225" s="35">
        <v>718161</v>
      </c>
      <c r="D225" s="35">
        <v>632138</v>
      </c>
      <c r="E225" s="47"/>
    </row>
    <row r="226" spans="1:5" s="18" customFormat="1" ht="17.25" customHeight="1">
      <c r="A226" s="46"/>
      <c r="B226" s="15" t="s">
        <v>104</v>
      </c>
      <c r="C226" s="2">
        <f>C225/100*25</f>
        <v>179540.25</v>
      </c>
      <c r="D226" s="2">
        <f>D225/100*25</f>
        <v>158034.5</v>
      </c>
      <c r="E226" s="47"/>
    </row>
    <row r="227" spans="1:5" s="18" customFormat="1" ht="17.25" customHeight="1">
      <c r="A227" s="46"/>
      <c r="B227" s="15" t="s">
        <v>137</v>
      </c>
      <c r="C227" s="2">
        <v>30000</v>
      </c>
      <c r="D227" s="2">
        <v>30000</v>
      </c>
      <c r="E227" s="47"/>
    </row>
    <row r="228" spans="1:5" s="18" customFormat="1" ht="17.25" customHeight="1">
      <c r="A228" s="46"/>
      <c r="B228" s="36" t="s">
        <v>373</v>
      </c>
      <c r="C228" s="35">
        <v>15000</v>
      </c>
      <c r="D228" s="35">
        <v>20000</v>
      </c>
      <c r="E228" s="47"/>
    </row>
    <row r="229" spans="1:5" s="18" customFormat="1" ht="17.25" customHeight="1">
      <c r="A229" s="46"/>
      <c r="B229" s="36" t="s">
        <v>83</v>
      </c>
      <c r="C229" s="35">
        <v>23040</v>
      </c>
      <c r="D229" s="35">
        <v>23040</v>
      </c>
      <c r="E229" s="47"/>
    </row>
    <row r="230" spans="1:5" s="18" customFormat="1" ht="17.25" customHeight="1">
      <c r="A230" s="46"/>
      <c r="B230" s="36" t="s">
        <v>374</v>
      </c>
      <c r="C230" s="35">
        <v>35000</v>
      </c>
      <c r="D230" s="35">
        <v>35000</v>
      </c>
      <c r="E230" s="47"/>
    </row>
    <row r="231" spans="1:5" s="18" customFormat="1" ht="17.25" customHeight="1">
      <c r="A231" s="46"/>
      <c r="B231" s="36" t="s">
        <v>108</v>
      </c>
      <c r="C231" s="35">
        <v>25000</v>
      </c>
      <c r="D231" s="35">
        <v>30000</v>
      </c>
      <c r="E231" s="47"/>
    </row>
    <row r="232" spans="1:5" s="18" customFormat="1" ht="32.25" customHeight="1">
      <c r="A232" s="46"/>
      <c r="B232" s="34" t="s">
        <v>294</v>
      </c>
      <c r="C232" s="35"/>
      <c r="D232" s="35">
        <v>50000</v>
      </c>
      <c r="E232" s="47"/>
    </row>
    <row r="233" spans="1:5" s="18" customFormat="1" ht="15.75">
      <c r="A233" s="46"/>
      <c r="B233" s="34" t="s">
        <v>295</v>
      </c>
      <c r="C233" s="35"/>
      <c r="D233" s="35">
        <v>220000</v>
      </c>
      <c r="E233" s="47"/>
    </row>
    <row r="234" spans="1:5" s="7" customFormat="1" ht="15.75">
      <c r="A234" s="65"/>
      <c r="B234" s="86" t="s">
        <v>425</v>
      </c>
      <c r="C234" s="87"/>
      <c r="D234" s="87">
        <f>SUM(D235:D239)</f>
        <v>416000</v>
      </c>
      <c r="E234" s="68"/>
    </row>
    <row r="235" spans="1:5" s="18" customFormat="1" ht="15.75">
      <c r="A235" s="46"/>
      <c r="B235" s="15" t="s">
        <v>423</v>
      </c>
      <c r="C235" s="2">
        <v>100000</v>
      </c>
      <c r="D235" s="2">
        <v>120000</v>
      </c>
      <c r="E235" s="47"/>
    </row>
    <row r="236" spans="1:5" s="18" customFormat="1" ht="15.75">
      <c r="A236" s="46"/>
      <c r="B236" s="36" t="s">
        <v>293</v>
      </c>
      <c r="C236" s="35"/>
      <c r="D236" s="35">
        <f>12*3000</f>
        <v>36000</v>
      </c>
      <c r="E236" s="47"/>
    </row>
    <row r="237" spans="1:5" s="18" customFormat="1" ht="15.75">
      <c r="A237" s="46"/>
      <c r="B237" s="36" t="s">
        <v>190</v>
      </c>
      <c r="C237" s="35">
        <v>50000</v>
      </c>
      <c r="D237" s="35">
        <v>60000</v>
      </c>
      <c r="E237" s="47"/>
    </row>
    <row r="238" spans="1:5" s="18" customFormat="1" ht="15.75">
      <c r="A238" s="46"/>
      <c r="B238" s="34" t="s">
        <v>426</v>
      </c>
      <c r="C238" s="35"/>
      <c r="D238" s="35">
        <v>50000</v>
      </c>
      <c r="E238" s="47"/>
    </row>
    <row r="239" spans="1:5" s="18" customFormat="1" ht="15.75">
      <c r="A239" s="46"/>
      <c r="B239" s="34" t="s">
        <v>394</v>
      </c>
      <c r="C239" s="35"/>
      <c r="D239" s="35">
        <v>150000</v>
      </c>
      <c r="E239" s="47"/>
    </row>
    <row r="240" spans="1:5" s="7" customFormat="1" ht="17.25" customHeight="1">
      <c r="A240" s="28" t="s">
        <v>62</v>
      </c>
      <c r="B240" s="29" t="s">
        <v>66</v>
      </c>
      <c r="C240" s="30">
        <f>SUM(C241:C244)</f>
        <v>531153.75</v>
      </c>
      <c r="D240" s="30">
        <f>SUM(D241:D245)</f>
        <v>722075</v>
      </c>
      <c r="E240" s="68"/>
    </row>
    <row r="241" spans="1:5" ht="15.75">
      <c r="A241" s="33"/>
      <c r="B241" s="34" t="s">
        <v>169</v>
      </c>
      <c r="C241" s="35">
        <v>392923</v>
      </c>
      <c r="D241" s="35">
        <v>465660</v>
      </c>
      <c r="E241" s="31"/>
    </row>
    <row r="242" spans="1:5" ht="17.25" customHeight="1">
      <c r="A242" s="33"/>
      <c r="B242" s="36" t="s">
        <v>104</v>
      </c>
      <c r="C242" s="35">
        <f>C241/100*25</f>
        <v>98230.75</v>
      </c>
      <c r="D242" s="35">
        <f>D241/100*25</f>
        <v>116415.00000000001</v>
      </c>
      <c r="E242" s="31"/>
    </row>
    <row r="243" spans="1:5" ht="17.25" customHeight="1">
      <c r="A243" s="33"/>
      <c r="B243" s="36" t="s">
        <v>52</v>
      </c>
      <c r="C243" s="35">
        <v>20000</v>
      </c>
      <c r="D243" s="35">
        <v>20000</v>
      </c>
      <c r="E243" s="31"/>
    </row>
    <row r="244" spans="1:5" ht="17.25" customHeight="1">
      <c r="A244" s="33"/>
      <c r="B244" s="36" t="s">
        <v>80</v>
      </c>
      <c r="C244" s="35">
        <v>20000</v>
      </c>
      <c r="D244" s="35">
        <v>20000</v>
      </c>
      <c r="E244" s="31"/>
    </row>
    <row r="245" spans="1:5" ht="17.25" customHeight="1">
      <c r="A245" s="33"/>
      <c r="B245" s="36" t="s">
        <v>395</v>
      </c>
      <c r="C245" s="35"/>
      <c r="D245" s="35">
        <v>100000</v>
      </c>
      <c r="E245" s="31"/>
    </row>
    <row r="246" spans="1:5" s="7" customFormat="1" ht="17.25" customHeight="1">
      <c r="A246" s="28" t="s">
        <v>62</v>
      </c>
      <c r="B246" s="29" t="s">
        <v>65</v>
      </c>
      <c r="C246" s="30">
        <f>SUM(C247:C249)</f>
        <v>513682.5</v>
      </c>
      <c r="D246" s="30">
        <f>SUM(D247:D251)</f>
        <v>725120</v>
      </c>
      <c r="E246" s="68"/>
    </row>
    <row r="247" spans="1:5" ht="17.25" customHeight="1">
      <c r="A247" s="33"/>
      <c r="B247" s="36" t="s">
        <v>170</v>
      </c>
      <c r="C247" s="35">
        <v>410946</v>
      </c>
      <c r="D247" s="35">
        <v>532096</v>
      </c>
      <c r="E247" s="31"/>
    </row>
    <row r="248" spans="1:5" ht="17.25" customHeight="1">
      <c r="A248" s="33"/>
      <c r="B248" s="36" t="s">
        <v>104</v>
      </c>
      <c r="C248" s="35">
        <f>C247/100*25</f>
        <v>102736.5</v>
      </c>
      <c r="D248" s="35">
        <f>D247/100*25</f>
        <v>133024</v>
      </c>
      <c r="E248" s="31"/>
    </row>
    <row r="249" spans="1:5" ht="17.25" customHeight="1">
      <c r="A249" s="33"/>
      <c r="B249" s="36" t="s">
        <v>178</v>
      </c>
      <c r="C249" s="35"/>
      <c r="D249" s="35">
        <v>20000</v>
      </c>
      <c r="E249" s="31"/>
    </row>
    <row r="250" spans="1:5" ht="17.25" customHeight="1">
      <c r="A250" s="33"/>
      <c r="B250" s="36" t="s">
        <v>393</v>
      </c>
      <c r="C250" s="35"/>
      <c r="D250" s="35">
        <v>20000</v>
      </c>
      <c r="E250" s="31"/>
    </row>
    <row r="251" spans="1:5" ht="27" customHeight="1">
      <c r="A251" s="33"/>
      <c r="B251" s="60" t="s">
        <v>338</v>
      </c>
      <c r="C251" s="35"/>
      <c r="D251" s="35">
        <v>20000</v>
      </c>
      <c r="E251" s="31"/>
    </row>
    <row r="252" spans="1:5" s="7" customFormat="1" ht="17.25" customHeight="1">
      <c r="A252" s="28" t="s">
        <v>64</v>
      </c>
      <c r="B252" s="29" t="s">
        <v>63</v>
      </c>
      <c r="C252" s="30">
        <f>SUM(C253:C257)</f>
        <v>900340</v>
      </c>
      <c r="D252" s="30">
        <f>SUM(D253:D257)</f>
        <v>899241.25</v>
      </c>
      <c r="E252" s="68"/>
    </row>
    <row r="253" spans="1:5" ht="17.25" customHeight="1">
      <c r="A253" s="33"/>
      <c r="B253" s="36" t="s">
        <v>170</v>
      </c>
      <c r="C253" s="35">
        <v>528272</v>
      </c>
      <c r="D253" s="35">
        <v>527393</v>
      </c>
      <c r="E253" s="31"/>
    </row>
    <row r="254" spans="1:5" ht="17.25" customHeight="1">
      <c r="A254" s="33"/>
      <c r="B254" s="36" t="s">
        <v>105</v>
      </c>
      <c r="C254" s="35">
        <f>C253/100*25</f>
        <v>132068</v>
      </c>
      <c r="D254" s="35">
        <f>D253/100*25</f>
        <v>131848.25</v>
      </c>
      <c r="E254" s="31"/>
    </row>
    <row r="255" spans="1:5" ht="17.25" customHeight="1">
      <c r="A255" s="33"/>
      <c r="B255" s="36" t="s">
        <v>68</v>
      </c>
      <c r="C255" s="35">
        <v>20000</v>
      </c>
      <c r="D255" s="35">
        <v>20000</v>
      </c>
      <c r="E255" s="31"/>
    </row>
    <row r="256" spans="1:5" ht="17.25" customHeight="1">
      <c r="A256" s="33"/>
      <c r="B256" s="36" t="s">
        <v>305</v>
      </c>
      <c r="C256" s="35">
        <v>20000</v>
      </c>
      <c r="D256" s="35">
        <v>20000</v>
      </c>
      <c r="E256" s="31"/>
    </row>
    <row r="257" spans="1:5" ht="17.25" customHeight="1">
      <c r="A257" s="33"/>
      <c r="B257" s="34" t="s">
        <v>183</v>
      </c>
      <c r="C257" s="35">
        <v>200000</v>
      </c>
      <c r="D257" s="35">
        <v>200000</v>
      </c>
      <c r="E257" s="31"/>
    </row>
    <row r="258" spans="1:5" s="7" customFormat="1" ht="17.25" customHeight="1">
      <c r="A258" s="28" t="s">
        <v>62</v>
      </c>
      <c r="B258" s="29" t="s">
        <v>67</v>
      </c>
      <c r="C258" s="30">
        <f>SUM(C259:C260)</f>
        <v>329476.25</v>
      </c>
      <c r="D258" s="30">
        <f>SUM(D259:D262)</f>
        <v>415580</v>
      </c>
      <c r="E258" s="68"/>
    </row>
    <row r="259" spans="1:5" ht="17.25" customHeight="1">
      <c r="A259" s="46"/>
      <c r="B259" s="38" t="s">
        <v>171</v>
      </c>
      <c r="C259" s="39">
        <v>263581</v>
      </c>
      <c r="D259" s="35">
        <v>268464</v>
      </c>
      <c r="E259" s="31"/>
    </row>
    <row r="260" spans="1:5" ht="17.25" customHeight="1">
      <c r="A260" s="46"/>
      <c r="B260" s="38" t="s">
        <v>104</v>
      </c>
      <c r="C260" s="39">
        <f>C259/100*25</f>
        <v>65895.25</v>
      </c>
      <c r="D260" s="35">
        <f>D259/100*25</f>
        <v>67116</v>
      </c>
      <c r="E260" s="31"/>
    </row>
    <row r="261" spans="1:5" ht="18" customHeight="1">
      <c r="A261" s="46"/>
      <c r="B261" s="69" t="s">
        <v>388</v>
      </c>
      <c r="C261" s="39"/>
      <c r="D261" s="35">
        <v>40000</v>
      </c>
      <c r="E261" s="31"/>
    </row>
    <row r="262" spans="1:5" ht="15.75">
      <c r="A262" s="46"/>
      <c r="B262" s="69" t="s">
        <v>415</v>
      </c>
      <c r="C262" s="39"/>
      <c r="D262" s="35">
        <v>40000</v>
      </c>
      <c r="E262" s="31"/>
    </row>
    <row r="263" spans="1:5" ht="17.25" customHeight="1">
      <c r="A263" s="28">
        <v>9</v>
      </c>
      <c r="B263" s="29" t="s">
        <v>49</v>
      </c>
      <c r="C263" s="30">
        <f>SUM(C264:C267)</f>
        <v>1085000</v>
      </c>
      <c r="D263" s="30">
        <f>SUM(D264:D268)</f>
        <v>1533000</v>
      </c>
      <c r="E263" s="31"/>
    </row>
    <row r="264" spans="1:5" ht="17.25" customHeight="1">
      <c r="A264" s="33"/>
      <c r="B264" s="38" t="s">
        <v>59</v>
      </c>
      <c r="C264" s="39">
        <v>885000</v>
      </c>
      <c r="D264" s="35">
        <v>885000</v>
      </c>
      <c r="E264" s="31"/>
    </row>
    <row r="265" spans="1:5" ht="17.25" customHeight="1">
      <c r="A265" s="33"/>
      <c r="B265" s="38" t="s">
        <v>129</v>
      </c>
      <c r="C265" s="39">
        <v>150000</v>
      </c>
      <c r="D265" s="35">
        <v>150000</v>
      </c>
      <c r="E265" s="31"/>
    </row>
    <row r="266" spans="1:5" ht="17.25" customHeight="1">
      <c r="A266" s="28"/>
      <c r="B266" s="36" t="s">
        <v>58</v>
      </c>
      <c r="C266" s="35">
        <v>50000</v>
      </c>
      <c r="D266" s="35">
        <v>180000</v>
      </c>
      <c r="E266" s="31"/>
    </row>
    <row r="267" spans="1:5" ht="17.25" customHeight="1">
      <c r="A267" s="28"/>
      <c r="B267" s="36" t="s">
        <v>182</v>
      </c>
      <c r="C267" s="35"/>
      <c r="D267" s="35">
        <f>110000+8000</f>
        <v>118000</v>
      </c>
      <c r="E267" s="31"/>
    </row>
    <row r="268" spans="1:5" ht="17.25" customHeight="1">
      <c r="A268" s="28"/>
      <c r="B268" s="36" t="s">
        <v>291</v>
      </c>
      <c r="C268" s="35"/>
      <c r="D268" s="35">
        <v>200000</v>
      </c>
      <c r="E268" s="31"/>
    </row>
    <row r="269" spans="1:5" ht="17.25" customHeight="1">
      <c r="A269" s="28">
        <v>10</v>
      </c>
      <c r="B269" s="29" t="s">
        <v>40</v>
      </c>
      <c r="C269" s="30">
        <f>SUM(C270:C272)</f>
        <v>480000</v>
      </c>
      <c r="D269" s="30">
        <f>SUM(D270:D272)</f>
        <v>640000</v>
      </c>
      <c r="E269" s="31"/>
    </row>
    <row r="270" spans="1:5" ht="17.25" customHeight="1">
      <c r="A270" s="46"/>
      <c r="B270" s="38" t="s">
        <v>222</v>
      </c>
      <c r="C270" s="39">
        <v>450000</v>
      </c>
      <c r="D270" s="35">
        <v>450000</v>
      </c>
      <c r="E270" s="31"/>
    </row>
    <row r="271" spans="1:5" ht="17.25" customHeight="1">
      <c r="A271" s="46"/>
      <c r="B271" s="38" t="s">
        <v>223</v>
      </c>
      <c r="C271" s="39"/>
      <c r="D271" s="35">
        <v>150000</v>
      </c>
      <c r="E271" s="31"/>
    </row>
    <row r="272" spans="1:5" ht="17.25" customHeight="1">
      <c r="A272" s="46"/>
      <c r="B272" s="36" t="s">
        <v>51</v>
      </c>
      <c r="C272" s="35">
        <v>30000</v>
      </c>
      <c r="D272" s="35">
        <v>40000</v>
      </c>
      <c r="E272" s="31"/>
    </row>
    <row r="273" spans="1:5" ht="17.25" customHeight="1">
      <c r="A273" s="28">
        <v>11</v>
      </c>
      <c r="B273" s="29" t="s">
        <v>20</v>
      </c>
      <c r="C273" s="30">
        <f>1450000+250000</f>
        <v>1700000</v>
      </c>
      <c r="D273" s="30">
        <f>2000000</f>
        <v>2000000</v>
      </c>
      <c r="E273" s="31"/>
    </row>
    <row r="274" spans="1:5" ht="17.25" customHeight="1">
      <c r="A274" s="28">
        <v>12</v>
      </c>
      <c r="B274" s="29" t="s">
        <v>21</v>
      </c>
      <c r="C274" s="30">
        <v>600000</v>
      </c>
      <c r="D274" s="30">
        <v>600000</v>
      </c>
      <c r="E274" s="31"/>
    </row>
    <row r="275" spans="1:5" ht="17.25" customHeight="1">
      <c r="A275" s="28">
        <v>13</v>
      </c>
      <c r="B275" s="29" t="s">
        <v>113</v>
      </c>
      <c r="C275" s="30">
        <f>SUM(C276:C286)</f>
        <v>1155000</v>
      </c>
      <c r="D275" s="30">
        <f>SUM(D276:D286)</f>
        <v>2628700</v>
      </c>
      <c r="E275" s="31"/>
    </row>
    <row r="276" spans="1:5" ht="17.25" customHeight="1">
      <c r="A276" s="33" t="s">
        <v>248</v>
      </c>
      <c r="B276" s="38" t="s">
        <v>114</v>
      </c>
      <c r="C276" s="39">
        <v>550000</v>
      </c>
      <c r="D276" s="39">
        <v>550000</v>
      </c>
      <c r="E276" s="31"/>
    </row>
    <row r="277" spans="1:5" ht="17.25" customHeight="1">
      <c r="A277" s="33" t="s">
        <v>249</v>
      </c>
      <c r="B277" s="38" t="s">
        <v>115</v>
      </c>
      <c r="C277" s="39">
        <v>9000</v>
      </c>
      <c r="D277" s="39">
        <v>9000</v>
      </c>
      <c r="E277" s="31"/>
    </row>
    <row r="278" spans="1:5" ht="46.5">
      <c r="A278" s="33" t="s">
        <v>250</v>
      </c>
      <c r="B278" s="79" t="s">
        <v>385</v>
      </c>
      <c r="C278" s="39">
        <v>166000</v>
      </c>
      <c r="D278" s="39">
        <v>166000</v>
      </c>
      <c r="E278" s="80"/>
    </row>
    <row r="279" spans="1:5" ht="15.75">
      <c r="A279" s="33" t="s">
        <v>251</v>
      </c>
      <c r="B279" s="38" t="s">
        <v>386</v>
      </c>
      <c r="C279" s="39">
        <v>70000</v>
      </c>
      <c r="D279" s="39">
        <v>125100</v>
      </c>
      <c r="E279" s="80"/>
    </row>
    <row r="280" spans="1:5" ht="17.25" customHeight="1">
      <c r="A280" s="33" t="s">
        <v>252</v>
      </c>
      <c r="B280" s="38" t="s">
        <v>375</v>
      </c>
      <c r="C280" s="39">
        <v>200000</v>
      </c>
      <c r="D280" s="39">
        <v>200000</v>
      </c>
      <c r="E280" s="31"/>
    </row>
    <row r="281" spans="1:5" ht="17.25" customHeight="1">
      <c r="A281" s="33" t="s">
        <v>253</v>
      </c>
      <c r="B281" s="38" t="s">
        <v>376</v>
      </c>
      <c r="C281" s="39">
        <v>30000</v>
      </c>
      <c r="D281" s="39">
        <v>30000</v>
      </c>
      <c r="E281" s="31"/>
    </row>
    <row r="282" spans="1:5" ht="17.25" customHeight="1">
      <c r="A282" s="33" t="s">
        <v>254</v>
      </c>
      <c r="B282" s="38" t="s">
        <v>42</v>
      </c>
      <c r="C282" s="39">
        <v>40000</v>
      </c>
      <c r="D282" s="39">
        <v>40000</v>
      </c>
      <c r="E282" s="31"/>
    </row>
    <row r="283" spans="1:5" ht="15.75">
      <c r="A283" s="33" t="s">
        <v>255</v>
      </c>
      <c r="B283" s="69" t="s">
        <v>414</v>
      </c>
      <c r="C283" s="39">
        <v>60000</v>
      </c>
      <c r="D283" s="39">
        <v>65000</v>
      </c>
      <c r="E283" s="31"/>
    </row>
    <row r="284" spans="1:5" ht="28.5" customHeight="1">
      <c r="A284" s="33" t="s">
        <v>256</v>
      </c>
      <c r="B284" s="69" t="s">
        <v>189</v>
      </c>
      <c r="C284" s="39"/>
      <c r="D284" s="39">
        <v>1000000</v>
      </c>
      <c r="E284" s="31"/>
    </row>
    <row r="285" spans="1:5" ht="18.75" customHeight="1">
      <c r="A285" s="33" t="s">
        <v>257</v>
      </c>
      <c r="B285" s="69" t="s">
        <v>158</v>
      </c>
      <c r="C285" s="39"/>
      <c r="D285" s="39">
        <v>410000</v>
      </c>
      <c r="E285" s="31"/>
    </row>
    <row r="286" spans="1:5" ht="15.75">
      <c r="A286" s="33" t="s">
        <v>258</v>
      </c>
      <c r="B286" s="70" t="s">
        <v>413</v>
      </c>
      <c r="C286" s="39">
        <v>30000</v>
      </c>
      <c r="D286" s="39">
        <f>14*200*12</f>
        <v>33600</v>
      </c>
      <c r="E286" s="31"/>
    </row>
    <row r="287" spans="1:5" ht="17.25" customHeight="1">
      <c r="A287" s="28">
        <v>14</v>
      </c>
      <c r="B287" s="29" t="s">
        <v>22</v>
      </c>
      <c r="C287" s="30">
        <f>SUM(C288:C323)</f>
        <v>4030000</v>
      </c>
      <c r="D287" s="30">
        <f>SUM(D288:D323)</f>
        <v>4133000</v>
      </c>
      <c r="E287" s="31"/>
    </row>
    <row r="288" spans="1:5" ht="17.25" customHeight="1">
      <c r="A288" s="33" t="s">
        <v>259</v>
      </c>
      <c r="B288" s="36" t="s">
        <v>28</v>
      </c>
      <c r="C288" s="35">
        <v>40000</v>
      </c>
      <c r="D288" s="35">
        <v>40000</v>
      </c>
      <c r="E288" s="31"/>
    </row>
    <row r="289" spans="1:5" ht="17.25" customHeight="1">
      <c r="A289" s="33" t="s">
        <v>260</v>
      </c>
      <c r="B289" s="36" t="s">
        <v>427</v>
      </c>
      <c r="C289" s="35">
        <v>40000</v>
      </c>
      <c r="D289" s="35">
        <v>60000</v>
      </c>
      <c r="E289" s="31"/>
    </row>
    <row r="290" spans="1:5" ht="17.25" customHeight="1">
      <c r="A290" s="33" t="s">
        <v>261</v>
      </c>
      <c r="B290" s="36" t="s">
        <v>377</v>
      </c>
      <c r="C290" s="35">
        <v>50000</v>
      </c>
      <c r="D290" s="35">
        <v>50000</v>
      </c>
      <c r="E290" s="84"/>
    </row>
    <row r="291" spans="1:5" ht="15.75">
      <c r="A291" s="33" t="s">
        <v>262</v>
      </c>
      <c r="B291" s="34" t="s">
        <v>339</v>
      </c>
      <c r="C291" s="35">
        <v>350000</v>
      </c>
      <c r="D291" s="35">
        <v>270000</v>
      </c>
      <c r="E291" s="31"/>
    </row>
    <row r="292" spans="1:5" ht="17.25" customHeight="1">
      <c r="A292" s="33" t="s">
        <v>263</v>
      </c>
      <c r="B292" s="36" t="s">
        <v>290</v>
      </c>
      <c r="C292" s="35">
        <v>50000</v>
      </c>
      <c r="D292" s="35">
        <v>80000</v>
      </c>
      <c r="E292" s="31"/>
    </row>
    <row r="293" spans="1:5" ht="17.25" customHeight="1">
      <c r="A293" s="33" t="s">
        <v>264</v>
      </c>
      <c r="B293" s="36" t="s">
        <v>396</v>
      </c>
      <c r="C293" s="35">
        <v>25000</v>
      </c>
      <c r="D293" s="35">
        <v>30000</v>
      </c>
      <c r="E293" s="31"/>
    </row>
    <row r="294" spans="1:5" ht="17.25" customHeight="1">
      <c r="A294" s="33" t="s">
        <v>265</v>
      </c>
      <c r="B294" s="36" t="s">
        <v>53</v>
      </c>
      <c r="C294" s="35">
        <v>20000</v>
      </c>
      <c r="D294" s="35">
        <v>20000</v>
      </c>
      <c r="E294" s="31"/>
    </row>
    <row r="295" spans="1:5" ht="17.25" customHeight="1">
      <c r="A295" s="33" t="s">
        <v>266</v>
      </c>
      <c r="B295" s="36" t="s">
        <v>50</v>
      </c>
      <c r="C295" s="35">
        <v>20000</v>
      </c>
      <c r="D295" s="35">
        <v>20000</v>
      </c>
      <c r="E295" s="31"/>
    </row>
    <row r="296" spans="1:5" ht="17.25" customHeight="1">
      <c r="A296" s="33" t="s">
        <v>267</v>
      </c>
      <c r="B296" s="36" t="s">
        <v>128</v>
      </c>
      <c r="C296" s="35">
        <v>40000</v>
      </c>
      <c r="D296" s="35">
        <v>60000</v>
      </c>
      <c r="E296" s="31"/>
    </row>
    <row r="297" spans="1:5" ht="31.5">
      <c r="A297" s="33" t="s">
        <v>268</v>
      </c>
      <c r="B297" s="61" t="s">
        <v>392</v>
      </c>
      <c r="C297" s="35">
        <v>100000</v>
      </c>
      <c r="D297" s="35">
        <v>100000</v>
      </c>
      <c r="E297" s="31"/>
    </row>
    <row r="298" spans="1:5" ht="17.25" customHeight="1">
      <c r="A298" s="33" t="s">
        <v>269</v>
      </c>
      <c r="B298" s="36" t="s">
        <v>428</v>
      </c>
      <c r="C298" s="35">
        <v>25000</v>
      </c>
      <c r="D298" s="35">
        <v>50000</v>
      </c>
      <c r="E298" s="31"/>
    </row>
    <row r="299" spans="1:5" ht="17.25" customHeight="1">
      <c r="A299" s="33" t="s">
        <v>270</v>
      </c>
      <c r="B299" s="36" t="s">
        <v>429</v>
      </c>
      <c r="C299" s="35"/>
      <c r="D299" s="35">
        <v>50000</v>
      </c>
      <c r="E299" s="31"/>
    </row>
    <row r="300" spans="1:5" ht="17.25" customHeight="1">
      <c r="A300" s="33" t="s">
        <v>271</v>
      </c>
      <c r="B300" s="36" t="s">
        <v>97</v>
      </c>
      <c r="C300" s="35">
        <v>70000</v>
      </c>
      <c r="D300" s="35">
        <v>80000</v>
      </c>
      <c r="E300" s="31"/>
    </row>
    <row r="301" spans="1:5" ht="17.25" customHeight="1">
      <c r="A301" s="33" t="s">
        <v>272</v>
      </c>
      <c r="B301" s="36" t="s">
        <v>304</v>
      </c>
      <c r="C301" s="35">
        <v>25000</v>
      </c>
      <c r="D301" s="35">
        <v>25000</v>
      </c>
      <c r="E301" s="31"/>
    </row>
    <row r="302" spans="1:5" ht="17.25" customHeight="1">
      <c r="A302" s="33" t="s">
        <v>273</v>
      </c>
      <c r="B302" s="36" t="s">
        <v>430</v>
      </c>
      <c r="C302" s="35">
        <v>20000</v>
      </c>
      <c r="D302" s="35">
        <v>100000</v>
      </c>
      <c r="E302" s="31"/>
    </row>
    <row r="303" spans="1:5" ht="17.25" customHeight="1">
      <c r="A303" s="33" t="s">
        <v>274</v>
      </c>
      <c r="B303" s="36" t="s">
        <v>431</v>
      </c>
      <c r="C303" s="35">
        <v>45000</v>
      </c>
      <c r="D303" s="35">
        <v>60000</v>
      </c>
      <c r="E303" s="31"/>
    </row>
    <row r="304" spans="1:5" ht="17.25" customHeight="1">
      <c r="A304" s="33" t="s">
        <v>275</v>
      </c>
      <c r="B304" s="36" t="s">
        <v>130</v>
      </c>
      <c r="C304" s="35">
        <v>20000</v>
      </c>
      <c r="D304" s="35">
        <v>20000</v>
      </c>
      <c r="E304" s="31"/>
    </row>
    <row r="305" spans="1:5" ht="17.25" customHeight="1">
      <c r="A305" s="33" t="s">
        <v>276</v>
      </c>
      <c r="B305" s="36" t="s">
        <v>378</v>
      </c>
      <c r="C305" s="35">
        <v>10000</v>
      </c>
      <c r="D305" s="35">
        <v>10000</v>
      </c>
      <c r="E305" s="31"/>
    </row>
    <row r="306" spans="1:5" ht="17.25" customHeight="1">
      <c r="A306" s="33" t="s">
        <v>277</v>
      </c>
      <c r="B306" s="36" t="s">
        <v>379</v>
      </c>
      <c r="C306" s="35">
        <v>10000</v>
      </c>
      <c r="D306" s="35">
        <v>10000</v>
      </c>
      <c r="E306" s="31"/>
    </row>
    <row r="307" spans="1:5" ht="17.25" customHeight="1">
      <c r="A307" s="33" t="s">
        <v>278</v>
      </c>
      <c r="B307" s="36" t="s">
        <v>397</v>
      </c>
      <c r="C307" s="35">
        <v>10000</v>
      </c>
      <c r="D307" s="35">
        <v>50000</v>
      </c>
      <c r="E307" s="31"/>
    </row>
    <row r="308" spans="1:5" ht="17.25" customHeight="1">
      <c r="A308" s="33" t="s">
        <v>279</v>
      </c>
      <c r="B308" s="36" t="s">
        <v>380</v>
      </c>
      <c r="C308" s="35">
        <v>200000</v>
      </c>
      <c r="D308" s="35">
        <v>350000</v>
      </c>
      <c r="E308" s="31"/>
    </row>
    <row r="309" spans="1:5" ht="17.25" customHeight="1">
      <c r="A309" s="33" t="s">
        <v>280</v>
      </c>
      <c r="B309" s="36" t="s">
        <v>136</v>
      </c>
      <c r="C309" s="35">
        <v>80000</v>
      </c>
      <c r="D309" s="35">
        <v>120000</v>
      </c>
      <c r="E309" s="31"/>
    </row>
    <row r="310" spans="1:5" ht="17.25" customHeight="1">
      <c r="A310" s="33" t="s">
        <v>281</v>
      </c>
      <c r="B310" s="36" t="s">
        <v>134</v>
      </c>
      <c r="C310" s="35">
        <v>30000</v>
      </c>
      <c r="D310" s="35">
        <v>30000</v>
      </c>
      <c r="E310" s="31"/>
    </row>
    <row r="311" spans="1:5" ht="17.25" customHeight="1">
      <c r="A311" s="33" t="s">
        <v>282</v>
      </c>
      <c r="B311" s="36" t="s">
        <v>32</v>
      </c>
      <c r="C311" s="35">
        <v>100000</v>
      </c>
      <c r="D311" s="35">
        <v>100000</v>
      </c>
      <c r="E311" s="31"/>
    </row>
    <row r="312" spans="1:5" ht="45">
      <c r="A312" s="33" t="s">
        <v>283</v>
      </c>
      <c r="B312" s="60" t="s">
        <v>306</v>
      </c>
      <c r="C312" s="35"/>
      <c r="D312" s="35">
        <v>40000</v>
      </c>
      <c r="E312" s="31"/>
    </row>
    <row r="313" spans="1:5" ht="17.25" customHeight="1">
      <c r="A313" s="33" t="s">
        <v>284</v>
      </c>
      <c r="B313" s="36" t="s">
        <v>432</v>
      </c>
      <c r="C313" s="35"/>
      <c r="D313" s="35">
        <v>50000</v>
      </c>
      <c r="E313" s="31"/>
    </row>
    <row r="314" spans="1:5" s="19" customFormat="1" ht="17.25" customHeight="1">
      <c r="A314" s="33" t="s">
        <v>285</v>
      </c>
      <c r="B314" s="71" t="s">
        <v>381</v>
      </c>
      <c r="C314" s="72">
        <v>20000</v>
      </c>
      <c r="D314" s="72">
        <v>30000</v>
      </c>
      <c r="E314" s="73"/>
    </row>
    <row r="315" spans="1:5" ht="17.25" customHeight="1">
      <c r="A315" s="33" t="s">
        <v>286</v>
      </c>
      <c r="B315" s="36" t="s">
        <v>95</v>
      </c>
      <c r="C315" s="35">
        <v>20000</v>
      </c>
      <c r="D315" s="35">
        <v>20000</v>
      </c>
      <c r="E315" s="31"/>
    </row>
    <row r="316" spans="1:5" ht="17.25" customHeight="1">
      <c r="A316" s="33" t="s">
        <v>287</v>
      </c>
      <c r="B316" s="36" t="s">
        <v>433</v>
      </c>
      <c r="C316" s="35">
        <v>300000</v>
      </c>
      <c r="D316" s="35">
        <v>115000</v>
      </c>
      <c r="E316" s="31"/>
    </row>
    <row r="317" spans="1:5" ht="17.25" customHeight="1">
      <c r="A317" s="33" t="s">
        <v>347</v>
      </c>
      <c r="B317" s="36" t="s">
        <v>71</v>
      </c>
      <c r="C317" s="35">
        <v>150000</v>
      </c>
      <c r="D317" s="35">
        <v>200000</v>
      </c>
      <c r="E317" s="31"/>
    </row>
    <row r="318" spans="1:6" ht="17.25" customHeight="1">
      <c r="A318" s="33" t="s">
        <v>348</v>
      </c>
      <c r="B318" s="36" t="s">
        <v>69</v>
      </c>
      <c r="C318" s="35">
        <v>100000</v>
      </c>
      <c r="D318" s="35">
        <v>100000</v>
      </c>
      <c r="E318" s="31"/>
      <c r="F318" s="22"/>
    </row>
    <row r="319" spans="1:5" ht="15.75">
      <c r="A319" s="33" t="s">
        <v>349</v>
      </c>
      <c r="B319" s="34" t="s">
        <v>111</v>
      </c>
      <c r="C319" s="35">
        <v>40000</v>
      </c>
      <c r="D319" s="35">
        <v>40000</v>
      </c>
      <c r="E319" s="31"/>
    </row>
    <row r="320" spans="1:5" ht="17.25" customHeight="1">
      <c r="A320" s="33" t="s">
        <v>350</v>
      </c>
      <c r="B320" s="36" t="s">
        <v>382</v>
      </c>
      <c r="C320" s="35">
        <v>20000</v>
      </c>
      <c r="D320" s="35">
        <v>250000</v>
      </c>
      <c r="E320" s="31"/>
    </row>
    <row r="321" spans="1:6" ht="17.25" customHeight="1">
      <c r="A321" s="33" t="s">
        <v>351</v>
      </c>
      <c r="B321" s="36" t="s">
        <v>60</v>
      </c>
      <c r="C321" s="35">
        <v>500000</v>
      </c>
      <c r="D321" s="35">
        <v>300000</v>
      </c>
      <c r="E321" s="73"/>
      <c r="F321" s="23"/>
    </row>
    <row r="322" spans="1:5" ht="15.75" customHeight="1">
      <c r="A322" s="33" t="s">
        <v>352</v>
      </c>
      <c r="B322" s="36" t="s">
        <v>358</v>
      </c>
      <c r="C322" s="35"/>
      <c r="D322" s="35">
        <v>203000</v>
      </c>
      <c r="E322" s="31"/>
    </row>
    <row r="323" spans="1:5" ht="15.75" customHeight="1">
      <c r="A323" s="33" t="s">
        <v>353</v>
      </c>
      <c r="B323" s="36" t="s">
        <v>48</v>
      </c>
      <c r="C323" s="35">
        <v>1500000</v>
      </c>
      <c r="D323" s="35">
        <v>1000000</v>
      </c>
      <c r="E323" s="31"/>
    </row>
    <row r="324" spans="1:5" ht="17.25" customHeight="1">
      <c r="A324" s="28">
        <v>15</v>
      </c>
      <c r="B324" s="29" t="s">
        <v>23</v>
      </c>
      <c r="C324" s="30">
        <v>1400000</v>
      </c>
      <c r="D324" s="30">
        <v>1200000</v>
      </c>
      <c r="E324" s="31"/>
    </row>
    <row r="325" spans="1:5" ht="17.25" customHeight="1">
      <c r="A325" s="28" t="s">
        <v>26</v>
      </c>
      <c r="B325" s="29" t="s">
        <v>24</v>
      </c>
      <c r="C325" s="30">
        <v>7998000</v>
      </c>
      <c r="D325" s="30">
        <v>8135000</v>
      </c>
      <c r="E325" s="57"/>
    </row>
    <row r="326" spans="1:5" ht="17.25" customHeight="1">
      <c r="A326" s="28" t="s">
        <v>38</v>
      </c>
      <c r="B326" s="29" t="s">
        <v>61</v>
      </c>
      <c r="C326" s="30" t="e">
        <f>#REF!+C328</f>
        <v>#REF!</v>
      </c>
      <c r="D326" s="30">
        <f>D327+D328</f>
        <v>128523000</v>
      </c>
      <c r="E326" s="31"/>
    </row>
    <row r="327" spans="1:5" ht="17.25" customHeight="1">
      <c r="A327" s="33">
        <v>1</v>
      </c>
      <c r="B327" s="36" t="s">
        <v>126</v>
      </c>
      <c r="C327" s="30"/>
      <c r="D327" s="74">
        <f>98952000+7275000</f>
        <v>106227000</v>
      </c>
      <c r="E327" s="31"/>
    </row>
    <row r="328" spans="1:5" ht="17.25" customHeight="1">
      <c r="A328" s="33">
        <v>2</v>
      </c>
      <c r="B328" s="36" t="s">
        <v>39</v>
      </c>
      <c r="C328" s="35">
        <v>29088000</v>
      </c>
      <c r="D328" s="35">
        <v>22296000</v>
      </c>
      <c r="E328" s="31"/>
    </row>
    <row r="329" spans="1:5" ht="6" customHeight="1">
      <c r="A329" s="75"/>
      <c r="B329" s="76"/>
      <c r="C329" s="77"/>
      <c r="D329" s="77"/>
      <c r="E329" s="78"/>
    </row>
    <row r="330" spans="1:4" ht="6" customHeight="1">
      <c r="A330" s="3"/>
      <c r="B330" s="4"/>
      <c r="C330" s="5"/>
      <c r="D330" s="5"/>
    </row>
    <row r="331" spans="2:5" ht="15.75">
      <c r="B331" s="159" t="s">
        <v>215</v>
      </c>
      <c r="C331" s="159"/>
      <c r="D331" s="159"/>
      <c r="E331" s="159"/>
    </row>
    <row r="335" ht="15">
      <c r="F335" s="13"/>
    </row>
    <row r="336" ht="15.75">
      <c r="F336" s="2"/>
    </row>
  </sheetData>
  <sheetProtection/>
  <mergeCells count="6">
    <mergeCell ref="F43:G43"/>
    <mergeCell ref="F44:L44"/>
    <mergeCell ref="B331:E331"/>
    <mergeCell ref="A1:E1"/>
    <mergeCell ref="A2:E2"/>
    <mergeCell ref="A3:E3"/>
  </mergeCells>
  <printOptions horizontalCentered="1"/>
  <pageMargins left="0" right="0" top="0.4724409448818898" bottom="0.4724409448818898" header="0.2755905511811024" footer="0.31496062992125984"/>
  <pageSetup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VanXuan</cp:lastModifiedBy>
  <cp:lastPrinted>2022-01-14T08:52:37Z</cp:lastPrinted>
  <dcterms:created xsi:type="dcterms:W3CDTF">2012-12-11T01:11:35Z</dcterms:created>
  <dcterms:modified xsi:type="dcterms:W3CDTF">2022-01-18T09:48:17Z</dcterms:modified>
  <cp:category/>
  <cp:version/>
  <cp:contentType/>
  <cp:contentStatus/>
</cp:coreProperties>
</file>